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70" activeTab="0"/>
  </bookViews>
  <sheets>
    <sheet name="（合格）海口市秀英区2022年公开招聘中小学教师" sheetId="1" r:id="rId1"/>
  </sheets>
  <definedNames/>
  <calcPr fullCalcOnLoad="1"/>
</workbook>
</file>

<file path=xl/sharedStrings.xml><?xml version="1.0" encoding="utf-8"?>
<sst xmlns="http://schemas.openxmlformats.org/spreadsheetml/2006/main" count="4558" uniqueCount="34">
  <si>
    <t>序号</t>
  </si>
  <si>
    <t>报考号</t>
  </si>
  <si>
    <t>报考岗位</t>
  </si>
  <si>
    <t>姓名</t>
  </si>
  <si>
    <t>性别</t>
  </si>
  <si>
    <t>0101_小学数学（应届）</t>
  </si>
  <si>
    <t>0102_小学体育（应届）</t>
  </si>
  <si>
    <t>0103_小学音乐（应届）</t>
  </si>
  <si>
    <t>0104_小学英语（应届）</t>
  </si>
  <si>
    <t>0105_小学语文（应届）</t>
  </si>
  <si>
    <t>女</t>
  </si>
  <si>
    <t>0106_中学地理（应届）</t>
  </si>
  <si>
    <t>0107_中学历史（应届）</t>
  </si>
  <si>
    <t>0108_中学美术（应届）</t>
  </si>
  <si>
    <t>0109_中学生物（应届）</t>
  </si>
  <si>
    <t>0110_中学数学（应届）</t>
  </si>
  <si>
    <t>0111_中学体育（应届）</t>
  </si>
  <si>
    <t>0112_中学物理（应届）</t>
  </si>
  <si>
    <t>0113_中学音乐（应届）</t>
  </si>
  <si>
    <t>0114_中学英语（应届）</t>
  </si>
  <si>
    <t>0115_中学语文（应届）</t>
  </si>
  <si>
    <t>0116_中学政治（应届）</t>
  </si>
  <si>
    <t>0201_中学道德与法治（往届）</t>
  </si>
  <si>
    <t>0202_小学道德与法治（往届）</t>
  </si>
  <si>
    <t>0203_小学美术（往届）</t>
  </si>
  <si>
    <t>0204_小学数学（往届）</t>
  </si>
  <si>
    <t>0205_小学体育1（往届）</t>
  </si>
  <si>
    <t>0206_小学英语（往届）</t>
  </si>
  <si>
    <t>0207_小学语文（往届）</t>
  </si>
  <si>
    <t>0208_中学历史（往届）</t>
  </si>
  <si>
    <t>0209_中学数学（往届）</t>
  </si>
  <si>
    <t>0210_中学英语（往届）</t>
  </si>
  <si>
    <t>0211_小学体育2（往届）</t>
  </si>
  <si>
    <t>海口市秀英区2022年公开招聘中小学教师合格名单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</si>
</sst>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52"/>
  <sheetViews>
    <sheetView tabSelected="1" workbookViewId="0" topLeftCell="A1">
      <selection activeCell="A1" sqref="A1:E1"/>
    </sheetView>
  </sheetViews>
  <sheetFormatPr defaultColWidth="9.140625" defaultRowHeight="15"/>
  <cols>
    <col min="1" max="1" width="9.00390625" style="2" customWidth="1"/>
    <col min="2" max="2" width="27.8515625" style="2" customWidth="1"/>
    <col min="3" max="3" width="24.28125" style="2" customWidth="1"/>
    <col min="4" max="4" width="13.57421875" style="2" customWidth="1"/>
    <col min="5" max="5" width="11.7109375" style="2" customWidth="1"/>
    <col min="6" max="16384" width="9.00390625" style="2" customWidth="1"/>
  </cols>
  <sheetData>
    <row r="1" spans="1:5" ht="71.25" customHeight="1">
      <c r="A1" s="5" t="s">
        <v>33</v>
      </c>
      <c r="B1" s="5"/>
      <c r="C1" s="5"/>
      <c r="D1" s="5"/>
      <c r="E1" s="5"/>
    </row>
    <row r="2" spans="1:5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0" customHeight="1">
      <c r="A3" s="4">
        <v>1</v>
      </c>
      <c r="B3" s="4" t="str">
        <f>"39712022060109015478191"</f>
        <v>39712022060109015478191</v>
      </c>
      <c r="C3" s="4" t="s">
        <v>5</v>
      </c>
      <c r="D3" s="4" t="str">
        <f>"王一竹"</f>
        <v>王一竹</v>
      </c>
      <c r="E3" s="4" t="str">
        <f aca="true" t="shared" si="0" ref="E3:E12">"女"</f>
        <v>女</v>
      </c>
    </row>
    <row r="4" spans="1:5" ht="30" customHeight="1">
      <c r="A4" s="4">
        <v>2</v>
      </c>
      <c r="B4" s="4" t="str">
        <f>"39712022060109064378231"</f>
        <v>39712022060109064378231</v>
      </c>
      <c r="C4" s="4" t="s">
        <v>5</v>
      </c>
      <c r="D4" s="4" t="str">
        <f>"高令泓"</f>
        <v>高令泓</v>
      </c>
      <c r="E4" s="4" t="str">
        <f t="shared" si="0"/>
        <v>女</v>
      </c>
    </row>
    <row r="5" spans="1:5" ht="30" customHeight="1">
      <c r="A5" s="4">
        <v>3</v>
      </c>
      <c r="B5" s="4" t="str">
        <f>"39712022060109221278385"</f>
        <v>39712022060109221278385</v>
      </c>
      <c r="C5" s="4" t="s">
        <v>5</v>
      </c>
      <c r="D5" s="4" t="str">
        <f>"何汶颖"</f>
        <v>何汶颖</v>
      </c>
      <c r="E5" s="4" t="str">
        <f t="shared" si="0"/>
        <v>女</v>
      </c>
    </row>
    <row r="6" spans="1:5" ht="30" customHeight="1">
      <c r="A6" s="4">
        <v>4</v>
      </c>
      <c r="B6" s="4" t="str">
        <f>"39712022060109304578459"</f>
        <v>39712022060109304578459</v>
      </c>
      <c r="C6" s="4" t="s">
        <v>5</v>
      </c>
      <c r="D6" s="4" t="str">
        <f>"麦子爱"</f>
        <v>麦子爱</v>
      </c>
      <c r="E6" s="4" t="str">
        <f t="shared" si="0"/>
        <v>女</v>
      </c>
    </row>
    <row r="7" spans="1:5" ht="30" customHeight="1">
      <c r="A7" s="4">
        <v>5</v>
      </c>
      <c r="B7" s="4" t="str">
        <f>"39712022060109374078516"</f>
        <v>39712022060109374078516</v>
      </c>
      <c r="C7" s="4" t="s">
        <v>5</v>
      </c>
      <c r="D7" s="4" t="str">
        <f>"蔡金霞"</f>
        <v>蔡金霞</v>
      </c>
      <c r="E7" s="4" t="str">
        <f t="shared" si="0"/>
        <v>女</v>
      </c>
    </row>
    <row r="8" spans="1:5" ht="30" customHeight="1">
      <c r="A8" s="4">
        <v>6</v>
      </c>
      <c r="B8" s="4" t="str">
        <f>"39712022060109404778542"</f>
        <v>39712022060109404778542</v>
      </c>
      <c r="C8" s="4" t="s">
        <v>5</v>
      </c>
      <c r="D8" s="4" t="str">
        <f>"陈晓怡"</f>
        <v>陈晓怡</v>
      </c>
      <c r="E8" s="4" t="str">
        <f t="shared" si="0"/>
        <v>女</v>
      </c>
    </row>
    <row r="9" spans="1:5" ht="30" customHeight="1">
      <c r="A9" s="4">
        <v>7</v>
      </c>
      <c r="B9" s="4" t="str">
        <f>"39712022060109461378592"</f>
        <v>39712022060109461378592</v>
      </c>
      <c r="C9" s="4" t="s">
        <v>5</v>
      </c>
      <c r="D9" s="4" t="str">
        <f>"梁梅蕊"</f>
        <v>梁梅蕊</v>
      </c>
      <c r="E9" s="4" t="str">
        <f t="shared" si="0"/>
        <v>女</v>
      </c>
    </row>
    <row r="10" spans="1:5" ht="30" customHeight="1">
      <c r="A10" s="4">
        <v>8</v>
      </c>
      <c r="B10" s="4" t="str">
        <f>"39712022060109492478622"</f>
        <v>39712022060109492478622</v>
      </c>
      <c r="C10" s="4" t="s">
        <v>5</v>
      </c>
      <c r="D10" s="4" t="str">
        <f>"符艳慧"</f>
        <v>符艳慧</v>
      </c>
      <c r="E10" s="4" t="str">
        <f t="shared" si="0"/>
        <v>女</v>
      </c>
    </row>
    <row r="11" spans="1:5" ht="30" customHeight="1">
      <c r="A11" s="4">
        <v>9</v>
      </c>
      <c r="B11" s="4" t="str">
        <f>"39712022060110003478718"</f>
        <v>39712022060110003478718</v>
      </c>
      <c r="C11" s="4" t="s">
        <v>5</v>
      </c>
      <c r="D11" s="4" t="str">
        <f>"童怡"</f>
        <v>童怡</v>
      </c>
      <c r="E11" s="4" t="str">
        <f t="shared" si="0"/>
        <v>女</v>
      </c>
    </row>
    <row r="12" spans="1:5" ht="30" customHeight="1">
      <c r="A12" s="4">
        <v>10</v>
      </c>
      <c r="B12" s="4" t="str">
        <f>"39712022060110123278816"</f>
        <v>39712022060110123278816</v>
      </c>
      <c r="C12" s="4" t="s">
        <v>5</v>
      </c>
      <c r="D12" s="4" t="str">
        <f>"林月妃"</f>
        <v>林月妃</v>
      </c>
      <c r="E12" s="4" t="str">
        <f t="shared" si="0"/>
        <v>女</v>
      </c>
    </row>
    <row r="13" spans="1:5" ht="30" customHeight="1">
      <c r="A13" s="4">
        <v>11</v>
      </c>
      <c r="B13" s="4" t="str">
        <f>"39712022060110452179075"</f>
        <v>39712022060110452179075</v>
      </c>
      <c r="C13" s="4" t="s">
        <v>5</v>
      </c>
      <c r="D13" s="4" t="str">
        <f>"纪新龙"</f>
        <v>纪新龙</v>
      </c>
      <c r="E13" s="4" t="str">
        <f>"男"</f>
        <v>男</v>
      </c>
    </row>
    <row r="14" spans="1:5" ht="30" customHeight="1">
      <c r="A14" s="4">
        <v>12</v>
      </c>
      <c r="B14" s="4" t="str">
        <f>"39712022060110492679111"</f>
        <v>39712022060110492679111</v>
      </c>
      <c r="C14" s="4" t="s">
        <v>5</v>
      </c>
      <c r="D14" s="4" t="str">
        <f>"符迎春"</f>
        <v>符迎春</v>
      </c>
      <c r="E14" s="4" t="str">
        <f>"女"</f>
        <v>女</v>
      </c>
    </row>
    <row r="15" spans="1:5" ht="30" customHeight="1">
      <c r="A15" s="4">
        <v>13</v>
      </c>
      <c r="B15" s="4" t="str">
        <f>"39712022060111074679258"</f>
        <v>39712022060111074679258</v>
      </c>
      <c r="C15" s="4" t="s">
        <v>5</v>
      </c>
      <c r="D15" s="4" t="str">
        <f>"李振英"</f>
        <v>李振英</v>
      </c>
      <c r="E15" s="4" t="str">
        <f>"女"</f>
        <v>女</v>
      </c>
    </row>
    <row r="16" spans="1:5" ht="30" customHeight="1">
      <c r="A16" s="4">
        <v>14</v>
      </c>
      <c r="B16" s="4" t="str">
        <f>"39712022060111081379263"</f>
        <v>39712022060111081379263</v>
      </c>
      <c r="C16" s="4" t="s">
        <v>5</v>
      </c>
      <c r="D16" s="4" t="str">
        <f>"王英桂"</f>
        <v>王英桂</v>
      </c>
      <c r="E16" s="4" t="str">
        <f>"女"</f>
        <v>女</v>
      </c>
    </row>
    <row r="17" spans="1:5" ht="30" customHeight="1">
      <c r="A17" s="4">
        <v>15</v>
      </c>
      <c r="B17" s="4" t="str">
        <f>"39712022060111313879447"</f>
        <v>39712022060111313879447</v>
      </c>
      <c r="C17" s="4" t="s">
        <v>5</v>
      </c>
      <c r="D17" s="4" t="str">
        <f>"陈业宝"</f>
        <v>陈业宝</v>
      </c>
      <c r="E17" s="4" t="str">
        <f>"男"</f>
        <v>男</v>
      </c>
    </row>
    <row r="18" spans="1:5" ht="30" customHeight="1">
      <c r="A18" s="4">
        <v>16</v>
      </c>
      <c r="B18" s="4" t="str">
        <f>"39712022060111475179537"</f>
        <v>39712022060111475179537</v>
      </c>
      <c r="C18" s="4" t="s">
        <v>5</v>
      </c>
      <c r="D18" s="4" t="str">
        <f>"龙文强"</f>
        <v>龙文强</v>
      </c>
      <c r="E18" s="4" t="str">
        <f>"男"</f>
        <v>男</v>
      </c>
    </row>
    <row r="19" spans="1:5" ht="30" customHeight="1">
      <c r="A19" s="4">
        <v>17</v>
      </c>
      <c r="B19" s="4" t="str">
        <f>"39712022060111592879595"</f>
        <v>39712022060111592879595</v>
      </c>
      <c r="C19" s="4" t="s">
        <v>5</v>
      </c>
      <c r="D19" s="4" t="str">
        <f>"张丽莎"</f>
        <v>张丽莎</v>
      </c>
      <c r="E19" s="4" t="str">
        <f>"女"</f>
        <v>女</v>
      </c>
    </row>
    <row r="20" spans="1:5" ht="30" customHeight="1">
      <c r="A20" s="4">
        <v>18</v>
      </c>
      <c r="B20" s="4" t="str">
        <f>"39712022060112145879678"</f>
        <v>39712022060112145879678</v>
      </c>
      <c r="C20" s="4" t="s">
        <v>5</v>
      </c>
      <c r="D20" s="4" t="str">
        <f>"吴方诗"</f>
        <v>吴方诗</v>
      </c>
      <c r="E20" s="4" t="str">
        <f>"女"</f>
        <v>女</v>
      </c>
    </row>
    <row r="21" spans="1:5" ht="30" customHeight="1">
      <c r="A21" s="4">
        <v>19</v>
      </c>
      <c r="B21" s="4" t="str">
        <f>"39712022060112165479694"</f>
        <v>39712022060112165479694</v>
      </c>
      <c r="C21" s="4" t="s">
        <v>5</v>
      </c>
      <c r="D21" s="4" t="str">
        <f>"王小壮"</f>
        <v>王小壮</v>
      </c>
      <c r="E21" s="4" t="str">
        <f>"男"</f>
        <v>男</v>
      </c>
    </row>
    <row r="22" spans="1:5" ht="30" customHeight="1">
      <c r="A22" s="4">
        <v>20</v>
      </c>
      <c r="B22" s="4" t="str">
        <f>"39712022060112360579797"</f>
        <v>39712022060112360579797</v>
      </c>
      <c r="C22" s="4" t="s">
        <v>5</v>
      </c>
      <c r="D22" s="4" t="str">
        <f>"李杨"</f>
        <v>李杨</v>
      </c>
      <c r="E22" s="4" t="str">
        <f>"男"</f>
        <v>男</v>
      </c>
    </row>
    <row r="23" spans="1:5" ht="30" customHeight="1">
      <c r="A23" s="4">
        <v>21</v>
      </c>
      <c r="B23" s="4" t="str">
        <f>"39712022060113042079939"</f>
        <v>39712022060113042079939</v>
      </c>
      <c r="C23" s="4" t="s">
        <v>5</v>
      </c>
      <c r="D23" s="4" t="str">
        <f>"王可盈"</f>
        <v>王可盈</v>
      </c>
      <c r="E23" s="4" t="str">
        <f>"女"</f>
        <v>女</v>
      </c>
    </row>
    <row r="24" spans="1:5" ht="30" customHeight="1">
      <c r="A24" s="4">
        <v>22</v>
      </c>
      <c r="B24" s="4" t="str">
        <f>"39712022060113054479952"</f>
        <v>39712022060113054479952</v>
      </c>
      <c r="C24" s="4" t="s">
        <v>5</v>
      </c>
      <c r="D24" s="4" t="str">
        <f>"黄光森"</f>
        <v>黄光森</v>
      </c>
      <c r="E24" s="4" t="str">
        <f>"男"</f>
        <v>男</v>
      </c>
    </row>
    <row r="25" spans="1:5" ht="30" customHeight="1">
      <c r="A25" s="4">
        <v>23</v>
      </c>
      <c r="B25" s="4" t="str">
        <f>"39712022060113120879978"</f>
        <v>39712022060113120879978</v>
      </c>
      <c r="C25" s="4" t="s">
        <v>5</v>
      </c>
      <c r="D25" s="4" t="str">
        <f>"王秀丽"</f>
        <v>王秀丽</v>
      </c>
      <c r="E25" s="4" t="str">
        <f aca="true" t="shared" si="1" ref="E25:E30">"女"</f>
        <v>女</v>
      </c>
    </row>
    <row r="26" spans="1:5" ht="30" customHeight="1">
      <c r="A26" s="4">
        <v>24</v>
      </c>
      <c r="B26" s="4" t="str">
        <f>"39712022060113224880024"</f>
        <v>39712022060113224880024</v>
      </c>
      <c r="C26" s="4" t="s">
        <v>5</v>
      </c>
      <c r="D26" s="4" t="str">
        <f>"容小妙"</f>
        <v>容小妙</v>
      </c>
      <c r="E26" s="4" t="str">
        <f t="shared" si="1"/>
        <v>女</v>
      </c>
    </row>
    <row r="27" spans="1:5" ht="30" customHeight="1">
      <c r="A27" s="4">
        <v>25</v>
      </c>
      <c r="B27" s="4" t="str">
        <f>"39712022060113353480088"</f>
        <v>39712022060113353480088</v>
      </c>
      <c r="C27" s="4" t="s">
        <v>5</v>
      </c>
      <c r="D27" s="4" t="str">
        <f>"韦腾婷"</f>
        <v>韦腾婷</v>
      </c>
      <c r="E27" s="4" t="str">
        <f t="shared" si="1"/>
        <v>女</v>
      </c>
    </row>
    <row r="28" spans="1:5" ht="30" customHeight="1">
      <c r="A28" s="4">
        <v>26</v>
      </c>
      <c r="B28" s="4" t="str">
        <f>"39712022060113435680119"</f>
        <v>39712022060113435680119</v>
      </c>
      <c r="C28" s="4" t="s">
        <v>5</v>
      </c>
      <c r="D28" s="4" t="str">
        <f>"朱金丽"</f>
        <v>朱金丽</v>
      </c>
      <c r="E28" s="4" t="str">
        <f t="shared" si="1"/>
        <v>女</v>
      </c>
    </row>
    <row r="29" spans="1:5" ht="30" customHeight="1">
      <c r="A29" s="4">
        <v>27</v>
      </c>
      <c r="B29" s="4" t="str">
        <f>"39712022060114225680257"</f>
        <v>39712022060114225680257</v>
      </c>
      <c r="C29" s="4" t="s">
        <v>5</v>
      </c>
      <c r="D29" s="4" t="str">
        <f>"麻秦楠"</f>
        <v>麻秦楠</v>
      </c>
      <c r="E29" s="4" t="str">
        <f t="shared" si="1"/>
        <v>女</v>
      </c>
    </row>
    <row r="30" spans="1:5" ht="30" customHeight="1">
      <c r="A30" s="4">
        <v>28</v>
      </c>
      <c r="B30" s="4" t="str">
        <f>"39712022060115470780716"</f>
        <v>39712022060115470780716</v>
      </c>
      <c r="C30" s="4" t="s">
        <v>5</v>
      </c>
      <c r="D30" s="4" t="str">
        <f>"陈秀峰"</f>
        <v>陈秀峰</v>
      </c>
      <c r="E30" s="4" t="str">
        <f t="shared" si="1"/>
        <v>女</v>
      </c>
    </row>
    <row r="31" spans="1:5" ht="30" customHeight="1">
      <c r="A31" s="4">
        <v>29</v>
      </c>
      <c r="B31" s="4" t="str">
        <f>"39712022060118222981554"</f>
        <v>39712022060118222981554</v>
      </c>
      <c r="C31" s="4" t="s">
        <v>5</v>
      </c>
      <c r="D31" s="4" t="str">
        <f>"陈明帅"</f>
        <v>陈明帅</v>
      </c>
      <c r="E31" s="4" t="str">
        <f>"男"</f>
        <v>男</v>
      </c>
    </row>
    <row r="32" spans="1:5" ht="30" customHeight="1">
      <c r="A32" s="4">
        <v>30</v>
      </c>
      <c r="B32" s="4" t="str">
        <f>"39712022060118310581593"</f>
        <v>39712022060118310581593</v>
      </c>
      <c r="C32" s="4" t="s">
        <v>5</v>
      </c>
      <c r="D32" s="4" t="str">
        <f>"李秀媚"</f>
        <v>李秀媚</v>
      </c>
      <c r="E32" s="4" t="str">
        <f aca="true" t="shared" si="2" ref="E32:E37">"女"</f>
        <v>女</v>
      </c>
    </row>
    <row r="33" spans="1:5" ht="30" customHeight="1">
      <c r="A33" s="4">
        <v>31</v>
      </c>
      <c r="B33" s="4" t="str">
        <f>"39712022060119153581765"</f>
        <v>39712022060119153581765</v>
      </c>
      <c r="C33" s="4" t="s">
        <v>5</v>
      </c>
      <c r="D33" s="4" t="str">
        <f>"冯海燕"</f>
        <v>冯海燕</v>
      </c>
      <c r="E33" s="4" t="str">
        <f t="shared" si="2"/>
        <v>女</v>
      </c>
    </row>
    <row r="34" spans="1:5" ht="30" customHeight="1">
      <c r="A34" s="4">
        <v>32</v>
      </c>
      <c r="B34" s="4" t="str">
        <f>"39712022060119365881854"</f>
        <v>39712022060119365881854</v>
      </c>
      <c r="C34" s="4" t="s">
        <v>5</v>
      </c>
      <c r="D34" s="4" t="str">
        <f>"蔡佳琪"</f>
        <v>蔡佳琪</v>
      </c>
      <c r="E34" s="4" t="str">
        <f t="shared" si="2"/>
        <v>女</v>
      </c>
    </row>
    <row r="35" spans="1:5" ht="30" customHeight="1">
      <c r="A35" s="4">
        <v>33</v>
      </c>
      <c r="B35" s="4" t="str">
        <f>"39712022060119400881863"</f>
        <v>39712022060119400881863</v>
      </c>
      <c r="C35" s="4" t="s">
        <v>5</v>
      </c>
      <c r="D35" s="4" t="str">
        <f>"王兰"</f>
        <v>王兰</v>
      </c>
      <c r="E35" s="4" t="str">
        <f t="shared" si="2"/>
        <v>女</v>
      </c>
    </row>
    <row r="36" spans="1:5" ht="30" customHeight="1">
      <c r="A36" s="4">
        <v>34</v>
      </c>
      <c r="B36" s="4" t="str">
        <f>"39712022060119462581889"</f>
        <v>39712022060119462581889</v>
      </c>
      <c r="C36" s="4" t="s">
        <v>5</v>
      </c>
      <c r="D36" s="4" t="str">
        <f>"杨巾巾"</f>
        <v>杨巾巾</v>
      </c>
      <c r="E36" s="4" t="str">
        <f t="shared" si="2"/>
        <v>女</v>
      </c>
    </row>
    <row r="37" spans="1:5" ht="30" customHeight="1">
      <c r="A37" s="4">
        <v>35</v>
      </c>
      <c r="B37" s="4" t="str">
        <f>"39712022060119543181930"</f>
        <v>39712022060119543181930</v>
      </c>
      <c r="C37" s="4" t="s">
        <v>5</v>
      </c>
      <c r="D37" s="4" t="str">
        <f>"赵艳辉"</f>
        <v>赵艳辉</v>
      </c>
      <c r="E37" s="4" t="str">
        <f t="shared" si="2"/>
        <v>女</v>
      </c>
    </row>
    <row r="38" spans="1:5" ht="30" customHeight="1">
      <c r="A38" s="4">
        <v>36</v>
      </c>
      <c r="B38" s="4" t="str">
        <f>"39712022060119564581939"</f>
        <v>39712022060119564581939</v>
      </c>
      <c r="C38" s="4" t="s">
        <v>5</v>
      </c>
      <c r="D38" s="4" t="str">
        <f>"王业中"</f>
        <v>王业中</v>
      </c>
      <c r="E38" s="4" t="str">
        <f>"男"</f>
        <v>男</v>
      </c>
    </row>
    <row r="39" spans="1:5" ht="30" customHeight="1">
      <c r="A39" s="4">
        <v>37</v>
      </c>
      <c r="B39" s="4" t="str">
        <f>"39712022060120173882030"</f>
        <v>39712022060120173882030</v>
      </c>
      <c r="C39" s="4" t="s">
        <v>5</v>
      </c>
      <c r="D39" s="4" t="str">
        <f>"蔡静"</f>
        <v>蔡静</v>
      </c>
      <c r="E39" s="4" t="str">
        <f aca="true" t="shared" si="3" ref="E39:E56">"女"</f>
        <v>女</v>
      </c>
    </row>
    <row r="40" spans="1:5" ht="30" customHeight="1">
      <c r="A40" s="4">
        <v>38</v>
      </c>
      <c r="B40" s="4" t="str">
        <f>"39712022060120393782125"</f>
        <v>39712022060120393782125</v>
      </c>
      <c r="C40" s="4" t="s">
        <v>5</v>
      </c>
      <c r="D40" s="4" t="str">
        <f>"许伟丽"</f>
        <v>许伟丽</v>
      </c>
      <c r="E40" s="4" t="str">
        <f t="shared" si="3"/>
        <v>女</v>
      </c>
    </row>
    <row r="41" spans="1:5" ht="30" customHeight="1">
      <c r="A41" s="4">
        <v>39</v>
      </c>
      <c r="B41" s="4" t="str">
        <f>"39712022060120565182210"</f>
        <v>39712022060120565182210</v>
      </c>
      <c r="C41" s="4" t="s">
        <v>5</v>
      </c>
      <c r="D41" s="4" t="str">
        <f>"白璐"</f>
        <v>白璐</v>
      </c>
      <c r="E41" s="4" t="str">
        <f t="shared" si="3"/>
        <v>女</v>
      </c>
    </row>
    <row r="42" spans="1:5" ht="30" customHeight="1">
      <c r="A42" s="4">
        <v>40</v>
      </c>
      <c r="B42" s="4" t="str">
        <f>"39712022060121310682389"</f>
        <v>39712022060121310682389</v>
      </c>
      <c r="C42" s="4" t="s">
        <v>5</v>
      </c>
      <c r="D42" s="4" t="str">
        <f>"陈淑琦"</f>
        <v>陈淑琦</v>
      </c>
      <c r="E42" s="4" t="str">
        <f t="shared" si="3"/>
        <v>女</v>
      </c>
    </row>
    <row r="43" spans="1:5" ht="30" customHeight="1">
      <c r="A43" s="4">
        <v>41</v>
      </c>
      <c r="B43" s="4" t="str">
        <f>"39712022060122140982640"</f>
        <v>39712022060122140982640</v>
      </c>
      <c r="C43" s="4" t="s">
        <v>5</v>
      </c>
      <c r="D43" s="4" t="str">
        <f>"蔡定旧"</f>
        <v>蔡定旧</v>
      </c>
      <c r="E43" s="4" t="str">
        <f t="shared" si="3"/>
        <v>女</v>
      </c>
    </row>
    <row r="44" spans="1:5" ht="30" customHeight="1">
      <c r="A44" s="4">
        <v>42</v>
      </c>
      <c r="B44" s="4" t="str">
        <f>"39712022060122402482770"</f>
        <v>39712022060122402482770</v>
      </c>
      <c r="C44" s="4" t="s">
        <v>5</v>
      </c>
      <c r="D44" s="4" t="str">
        <f>"陈笑柳"</f>
        <v>陈笑柳</v>
      </c>
      <c r="E44" s="4" t="str">
        <f t="shared" si="3"/>
        <v>女</v>
      </c>
    </row>
    <row r="45" spans="1:5" ht="30" customHeight="1">
      <c r="A45" s="4">
        <v>43</v>
      </c>
      <c r="B45" s="4" t="str">
        <f>"39712022060122482782804"</f>
        <v>39712022060122482782804</v>
      </c>
      <c r="C45" s="4" t="s">
        <v>5</v>
      </c>
      <c r="D45" s="4" t="str">
        <f>"吴欢"</f>
        <v>吴欢</v>
      </c>
      <c r="E45" s="4" t="str">
        <f t="shared" si="3"/>
        <v>女</v>
      </c>
    </row>
    <row r="46" spans="1:5" ht="30" customHeight="1">
      <c r="A46" s="4">
        <v>44</v>
      </c>
      <c r="B46" s="4" t="str">
        <f>"39712022060123051182882"</f>
        <v>39712022060123051182882</v>
      </c>
      <c r="C46" s="4" t="s">
        <v>5</v>
      </c>
      <c r="D46" s="4" t="str">
        <f>"郭教雪"</f>
        <v>郭教雪</v>
      </c>
      <c r="E46" s="4" t="str">
        <f t="shared" si="3"/>
        <v>女</v>
      </c>
    </row>
    <row r="47" spans="1:5" ht="30" customHeight="1">
      <c r="A47" s="4">
        <v>45</v>
      </c>
      <c r="B47" s="4" t="str">
        <f>"39712022060123292782965"</f>
        <v>39712022060123292782965</v>
      </c>
      <c r="C47" s="4" t="s">
        <v>5</v>
      </c>
      <c r="D47" s="4" t="str">
        <f>"邹怡"</f>
        <v>邹怡</v>
      </c>
      <c r="E47" s="4" t="str">
        <f t="shared" si="3"/>
        <v>女</v>
      </c>
    </row>
    <row r="48" spans="1:5" ht="30" customHeight="1">
      <c r="A48" s="4">
        <v>46</v>
      </c>
      <c r="B48" s="4" t="str">
        <f>"39712022060123531483027"</f>
        <v>39712022060123531483027</v>
      </c>
      <c r="C48" s="4" t="s">
        <v>5</v>
      </c>
      <c r="D48" s="4" t="str">
        <f>"符玉金"</f>
        <v>符玉金</v>
      </c>
      <c r="E48" s="4" t="str">
        <f t="shared" si="3"/>
        <v>女</v>
      </c>
    </row>
    <row r="49" spans="1:5" ht="30" customHeight="1">
      <c r="A49" s="4">
        <v>47</v>
      </c>
      <c r="B49" s="4" t="str">
        <f>"39712022060209565083929"</f>
        <v>39712022060209565083929</v>
      </c>
      <c r="C49" s="4" t="s">
        <v>5</v>
      </c>
      <c r="D49" s="4" t="str">
        <f>"柯丽玲"</f>
        <v>柯丽玲</v>
      </c>
      <c r="E49" s="4" t="str">
        <f t="shared" si="3"/>
        <v>女</v>
      </c>
    </row>
    <row r="50" spans="1:5" ht="30" customHeight="1">
      <c r="A50" s="4">
        <v>48</v>
      </c>
      <c r="B50" s="4" t="str">
        <f>"39712022060209584083936"</f>
        <v>39712022060209584083936</v>
      </c>
      <c r="C50" s="4" t="s">
        <v>5</v>
      </c>
      <c r="D50" s="4" t="str">
        <f>"祝海霞"</f>
        <v>祝海霞</v>
      </c>
      <c r="E50" s="4" t="str">
        <f t="shared" si="3"/>
        <v>女</v>
      </c>
    </row>
    <row r="51" spans="1:5" ht="30" customHeight="1">
      <c r="A51" s="4">
        <v>49</v>
      </c>
      <c r="B51" s="4" t="str">
        <f>"39712022060210202784099"</f>
        <v>39712022060210202784099</v>
      </c>
      <c r="C51" s="4" t="s">
        <v>5</v>
      </c>
      <c r="D51" s="4" t="str">
        <f>"李琪"</f>
        <v>李琪</v>
      </c>
      <c r="E51" s="4" t="str">
        <f t="shared" si="3"/>
        <v>女</v>
      </c>
    </row>
    <row r="52" spans="1:5" ht="30" customHeight="1">
      <c r="A52" s="4">
        <v>50</v>
      </c>
      <c r="B52" s="4" t="str">
        <f>"39712022060211212284556"</f>
        <v>39712022060211212284556</v>
      </c>
      <c r="C52" s="4" t="s">
        <v>5</v>
      </c>
      <c r="D52" s="4" t="str">
        <f>"王小英"</f>
        <v>王小英</v>
      </c>
      <c r="E52" s="4" t="str">
        <f t="shared" si="3"/>
        <v>女</v>
      </c>
    </row>
    <row r="53" spans="1:5" ht="30" customHeight="1">
      <c r="A53" s="4">
        <v>51</v>
      </c>
      <c r="B53" s="4" t="str">
        <f>"39712022060211320084622"</f>
        <v>39712022060211320084622</v>
      </c>
      <c r="C53" s="4" t="s">
        <v>5</v>
      </c>
      <c r="D53" s="4" t="str">
        <f>"陈海灵"</f>
        <v>陈海灵</v>
      </c>
      <c r="E53" s="4" t="str">
        <f t="shared" si="3"/>
        <v>女</v>
      </c>
    </row>
    <row r="54" spans="1:5" ht="30" customHeight="1">
      <c r="A54" s="4">
        <v>52</v>
      </c>
      <c r="B54" s="4" t="str">
        <f>"39712022060212125084843"</f>
        <v>39712022060212125084843</v>
      </c>
      <c r="C54" s="4" t="s">
        <v>5</v>
      </c>
      <c r="D54" s="4" t="str">
        <f>"黄巧妮"</f>
        <v>黄巧妮</v>
      </c>
      <c r="E54" s="4" t="str">
        <f t="shared" si="3"/>
        <v>女</v>
      </c>
    </row>
    <row r="55" spans="1:5" ht="30" customHeight="1">
      <c r="A55" s="4">
        <v>53</v>
      </c>
      <c r="B55" s="4" t="str">
        <f>"39712022060212345484966"</f>
        <v>39712022060212345484966</v>
      </c>
      <c r="C55" s="4" t="s">
        <v>5</v>
      </c>
      <c r="D55" s="4" t="str">
        <f>"吴婷"</f>
        <v>吴婷</v>
      </c>
      <c r="E55" s="4" t="str">
        <f t="shared" si="3"/>
        <v>女</v>
      </c>
    </row>
    <row r="56" spans="1:5" ht="30" customHeight="1">
      <c r="A56" s="4">
        <v>54</v>
      </c>
      <c r="B56" s="4" t="str">
        <f>"39712022060213003185118"</f>
        <v>39712022060213003185118</v>
      </c>
      <c r="C56" s="4" t="s">
        <v>5</v>
      </c>
      <c r="D56" s="4" t="str">
        <f>"林颖"</f>
        <v>林颖</v>
      </c>
      <c r="E56" s="4" t="str">
        <f t="shared" si="3"/>
        <v>女</v>
      </c>
    </row>
    <row r="57" spans="1:5" ht="30" customHeight="1">
      <c r="A57" s="4">
        <v>55</v>
      </c>
      <c r="B57" s="4" t="str">
        <f>"39712022060214285585498"</f>
        <v>39712022060214285585498</v>
      </c>
      <c r="C57" s="4" t="s">
        <v>5</v>
      </c>
      <c r="D57" s="4" t="str">
        <f>"陈荣航"</f>
        <v>陈荣航</v>
      </c>
      <c r="E57" s="4" t="str">
        <f>"男"</f>
        <v>男</v>
      </c>
    </row>
    <row r="58" spans="1:5" ht="30" customHeight="1">
      <c r="A58" s="4">
        <v>56</v>
      </c>
      <c r="B58" s="4" t="str">
        <f>"39712022060214440785554"</f>
        <v>39712022060214440785554</v>
      </c>
      <c r="C58" s="4" t="s">
        <v>5</v>
      </c>
      <c r="D58" s="4" t="str">
        <f>"蒙庆"</f>
        <v>蒙庆</v>
      </c>
      <c r="E58" s="4" t="str">
        <f>"男"</f>
        <v>男</v>
      </c>
    </row>
    <row r="59" spans="1:5" ht="30" customHeight="1">
      <c r="A59" s="4">
        <v>57</v>
      </c>
      <c r="B59" s="4" t="str">
        <f>"39712022060215021785667"</f>
        <v>39712022060215021785667</v>
      </c>
      <c r="C59" s="4" t="s">
        <v>5</v>
      </c>
      <c r="D59" s="4" t="str">
        <f>"孟紫云"</f>
        <v>孟紫云</v>
      </c>
      <c r="E59" s="4" t="str">
        <f aca="true" t="shared" si="4" ref="E59:E71">"女"</f>
        <v>女</v>
      </c>
    </row>
    <row r="60" spans="1:5" ht="30" customHeight="1">
      <c r="A60" s="4">
        <v>58</v>
      </c>
      <c r="B60" s="4" t="str">
        <f>"39712022060215263085816"</f>
        <v>39712022060215263085816</v>
      </c>
      <c r="C60" s="4" t="s">
        <v>5</v>
      </c>
      <c r="D60" s="4" t="str">
        <f>"潘雅倩"</f>
        <v>潘雅倩</v>
      </c>
      <c r="E60" s="4" t="str">
        <f t="shared" si="4"/>
        <v>女</v>
      </c>
    </row>
    <row r="61" spans="1:5" ht="30" customHeight="1">
      <c r="A61" s="4">
        <v>59</v>
      </c>
      <c r="B61" s="4" t="str">
        <f>"39712022060216533286282"</f>
        <v>39712022060216533286282</v>
      </c>
      <c r="C61" s="4" t="s">
        <v>5</v>
      </c>
      <c r="D61" s="4" t="str">
        <f>"吴佳楠"</f>
        <v>吴佳楠</v>
      </c>
      <c r="E61" s="4" t="str">
        <f t="shared" si="4"/>
        <v>女</v>
      </c>
    </row>
    <row r="62" spans="1:5" ht="30" customHeight="1">
      <c r="A62" s="4">
        <v>60</v>
      </c>
      <c r="B62" s="4" t="str">
        <f>"39712022060217193486406"</f>
        <v>39712022060217193486406</v>
      </c>
      <c r="C62" s="4" t="s">
        <v>5</v>
      </c>
      <c r="D62" s="4" t="str">
        <f>"李美姬"</f>
        <v>李美姬</v>
      </c>
      <c r="E62" s="4" t="str">
        <f t="shared" si="4"/>
        <v>女</v>
      </c>
    </row>
    <row r="63" spans="1:5" ht="30" customHeight="1">
      <c r="A63" s="4">
        <v>61</v>
      </c>
      <c r="B63" s="4" t="str">
        <f>"39712022060218355386691"</f>
        <v>39712022060218355386691</v>
      </c>
      <c r="C63" s="4" t="s">
        <v>5</v>
      </c>
      <c r="D63" s="4" t="str">
        <f>"赵月莲"</f>
        <v>赵月莲</v>
      </c>
      <c r="E63" s="4" t="str">
        <f t="shared" si="4"/>
        <v>女</v>
      </c>
    </row>
    <row r="64" spans="1:5" ht="30" customHeight="1">
      <c r="A64" s="4">
        <v>62</v>
      </c>
      <c r="B64" s="4" t="str">
        <f>"39712022060219241386831"</f>
        <v>39712022060219241386831</v>
      </c>
      <c r="C64" s="4" t="s">
        <v>5</v>
      </c>
      <c r="D64" s="4" t="str">
        <f>"王潇"</f>
        <v>王潇</v>
      </c>
      <c r="E64" s="4" t="str">
        <f t="shared" si="4"/>
        <v>女</v>
      </c>
    </row>
    <row r="65" spans="1:5" ht="30" customHeight="1">
      <c r="A65" s="4">
        <v>63</v>
      </c>
      <c r="B65" s="4" t="str">
        <f>"39712022060220123986961"</f>
        <v>39712022060220123986961</v>
      </c>
      <c r="C65" s="4" t="s">
        <v>5</v>
      </c>
      <c r="D65" s="4" t="str">
        <f>"王婉君"</f>
        <v>王婉君</v>
      </c>
      <c r="E65" s="4" t="str">
        <f t="shared" si="4"/>
        <v>女</v>
      </c>
    </row>
    <row r="66" spans="1:5" ht="30" customHeight="1">
      <c r="A66" s="4">
        <v>64</v>
      </c>
      <c r="B66" s="4" t="str">
        <f>"39712022060221070187124"</f>
        <v>39712022060221070187124</v>
      </c>
      <c r="C66" s="4" t="s">
        <v>5</v>
      </c>
      <c r="D66" s="4" t="str">
        <f>"谭锐"</f>
        <v>谭锐</v>
      </c>
      <c r="E66" s="4" t="str">
        <f t="shared" si="4"/>
        <v>女</v>
      </c>
    </row>
    <row r="67" spans="1:5" ht="30" customHeight="1">
      <c r="A67" s="4">
        <v>65</v>
      </c>
      <c r="B67" s="4" t="str">
        <f>"39712022060222441287457"</f>
        <v>39712022060222441287457</v>
      </c>
      <c r="C67" s="4" t="s">
        <v>5</v>
      </c>
      <c r="D67" s="4" t="str">
        <f>"王彩亭"</f>
        <v>王彩亭</v>
      </c>
      <c r="E67" s="4" t="str">
        <f t="shared" si="4"/>
        <v>女</v>
      </c>
    </row>
    <row r="68" spans="1:5" ht="30" customHeight="1">
      <c r="A68" s="4">
        <v>66</v>
      </c>
      <c r="B68" s="4" t="str">
        <f>"39712022060222441687458"</f>
        <v>39712022060222441687458</v>
      </c>
      <c r="C68" s="4" t="s">
        <v>5</v>
      </c>
      <c r="D68" s="4" t="str">
        <f>"汤小叶"</f>
        <v>汤小叶</v>
      </c>
      <c r="E68" s="4" t="str">
        <f t="shared" si="4"/>
        <v>女</v>
      </c>
    </row>
    <row r="69" spans="1:5" ht="30" customHeight="1">
      <c r="A69" s="4">
        <v>67</v>
      </c>
      <c r="B69" s="4" t="str">
        <f>"39712022060310383987786"</f>
        <v>39712022060310383987786</v>
      </c>
      <c r="C69" s="4" t="s">
        <v>5</v>
      </c>
      <c r="D69" s="4" t="str">
        <f>"张颖"</f>
        <v>张颖</v>
      </c>
      <c r="E69" s="4" t="str">
        <f t="shared" si="4"/>
        <v>女</v>
      </c>
    </row>
    <row r="70" spans="1:5" ht="30" customHeight="1">
      <c r="A70" s="4">
        <v>68</v>
      </c>
      <c r="B70" s="4" t="str">
        <f>"39712022060312343687923"</f>
        <v>39712022060312343687923</v>
      </c>
      <c r="C70" s="4" t="s">
        <v>5</v>
      </c>
      <c r="D70" s="4" t="str">
        <f>"王莹莹"</f>
        <v>王莹莹</v>
      </c>
      <c r="E70" s="4" t="str">
        <f t="shared" si="4"/>
        <v>女</v>
      </c>
    </row>
    <row r="71" spans="1:5" ht="30" customHeight="1">
      <c r="A71" s="4">
        <v>69</v>
      </c>
      <c r="B71" s="4" t="str">
        <f>"39712022060316235988126"</f>
        <v>39712022060316235988126</v>
      </c>
      <c r="C71" s="4" t="s">
        <v>5</v>
      </c>
      <c r="D71" s="4" t="str">
        <f>"林玉涵"</f>
        <v>林玉涵</v>
      </c>
      <c r="E71" s="4" t="str">
        <f t="shared" si="4"/>
        <v>女</v>
      </c>
    </row>
    <row r="72" spans="1:5" ht="30" customHeight="1">
      <c r="A72" s="4">
        <v>70</v>
      </c>
      <c r="B72" s="4" t="str">
        <f>"39712022060317060788159"</f>
        <v>39712022060317060788159</v>
      </c>
      <c r="C72" s="4" t="s">
        <v>5</v>
      </c>
      <c r="D72" s="4" t="str">
        <f>"刘湜"</f>
        <v>刘湜</v>
      </c>
      <c r="E72" s="4" t="str">
        <f>"男"</f>
        <v>男</v>
      </c>
    </row>
    <row r="73" spans="1:5" ht="30" customHeight="1">
      <c r="A73" s="4">
        <v>71</v>
      </c>
      <c r="B73" s="4" t="str">
        <f>"39712022060318272588233"</f>
        <v>39712022060318272588233</v>
      </c>
      <c r="C73" s="4" t="s">
        <v>5</v>
      </c>
      <c r="D73" s="4" t="str">
        <f>"邢祎蔓"</f>
        <v>邢祎蔓</v>
      </c>
      <c r="E73" s="4" t="str">
        <f aca="true" t="shared" si="5" ref="E73:E95">"女"</f>
        <v>女</v>
      </c>
    </row>
    <row r="74" spans="1:5" ht="30" customHeight="1">
      <c r="A74" s="4">
        <v>72</v>
      </c>
      <c r="B74" s="4" t="str">
        <f>"39712022060320552088371"</f>
        <v>39712022060320552088371</v>
      </c>
      <c r="C74" s="4" t="s">
        <v>5</v>
      </c>
      <c r="D74" s="4" t="str">
        <f>"陈璐"</f>
        <v>陈璐</v>
      </c>
      <c r="E74" s="4" t="str">
        <f t="shared" si="5"/>
        <v>女</v>
      </c>
    </row>
    <row r="75" spans="1:5" ht="30" customHeight="1">
      <c r="A75" s="4">
        <v>73</v>
      </c>
      <c r="B75" s="4" t="str">
        <f>"39712022060321294088408"</f>
        <v>39712022060321294088408</v>
      </c>
      <c r="C75" s="4" t="s">
        <v>5</v>
      </c>
      <c r="D75" s="4" t="str">
        <f>"林嘉怡"</f>
        <v>林嘉怡</v>
      </c>
      <c r="E75" s="4" t="str">
        <f t="shared" si="5"/>
        <v>女</v>
      </c>
    </row>
    <row r="76" spans="1:5" ht="30" customHeight="1">
      <c r="A76" s="4">
        <v>74</v>
      </c>
      <c r="B76" s="4" t="str">
        <f>"39712022060321333488413"</f>
        <v>39712022060321333488413</v>
      </c>
      <c r="C76" s="4" t="s">
        <v>5</v>
      </c>
      <c r="D76" s="4" t="str">
        <f>"余业红"</f>
        <v>余业红</v>
      </c>
      <c r="E76" s="4" t="str">
        <f t="shared" si="5"/>
        <v>女</v>
      </c>
    </row>
    <row r="77" spans="1:5" ht="30" customHeight="1">
      <c r="A77" s="4">
        <v>75</v>
      </c>
      <c r="B77" s="4" t="str">
        <f>"39712022060409520788666"</f>
        <v>39712022060409520788666</v>
      </c>
      <c r="C77" s="4" t="s">
        <v>5</v>
      </c>
      <c r="D77" s="4" t="str">
        <f>"符祯祯"</f>
        <v>符祯祯</v>
      </c>
      <c r="E77" s="4" t="str">
        <f t="shared" si="5"/>
        <v>女</v>
      </c>
    </row>
    <row r="78" spans="1:5" ht="30" customHeight="1">
      <c r="A78" s="4">
        <v>76</v>
      </c>
      <c r="B78" s="4" t="str">
        <f>"39712022060412234988855"</f>
        <v>39712022060412234988855</v>
      </c>
      <c r="C78" s="4" t="s">
        <v>5</v>
      </c>
      <c r="D78" s="4" t="str">
        <f>"吉洪金"</f>
        <v>吉洪金</v>
      </c>
      <c r="E78" s="4" t="str">
        <f t="shared" si="5"/>
        <v>女</v>
      </c>
    </row>
    <row r="79" spans="1:5" ht="30" customHeight="1">
      <c r="A79" s="4">
        <v>77</v>
      </c>
      <c r="B79" s="4" t="str">
        <f>"39712022060412492988887"</f>
        <v>39712022060412492988887</v>
      </c>
      <c r="C79" s="4" t="s">
        <v>5</v>
      </c>
      <c r="D79" s="4" t="str">
        <f>"潘淳"</f>
        <v>潘淳</v>
      </c>
      <c r="E79" s="4" t="str">
        <f t="shared" si="5"/>
        <v>女</v>
      </c>
    </row>
    <row r="80" spans="1:5" ht="30" customHeight="1">
      <c r="A80" s="4">
        <v>78</v>
      </c>
      <c r="B80" s="4" t="str">
        <f>"39712022060415363489032"</f>
        <v>39712022060415363489032</v>
      </c>
      <c r="C80" s="4" t="s">
        <v>5</v>
      </c>
      <c r="D80" s="4" t="str">
        <f>"陈三妹"</f>
        <v>陈三妹</v>
      </c>
      <c r="E80" s="4" t="str">
        <f t="shared" si="5"/>
        <v>女</v>
      </c>
    </row>
    <row r="81" spans="1:5" ht="30" customHeight="1">
      <c r="A81" s="4">
        <v>79</v>
      </c>
      <c r="B81" s="4" t="str">
        <f>"39712022060416235689087"</f>
        <v>39712022060416235689087</v>
      </c>
      <c r="C81" s="4" t="s">
        <v>5</v>
      </c>
      <c r="D81" s="4" t="str">
        <f>"文小玉"</f>
        <v>文小玉</v>
      </c>
      <c r="E81" s="4" t="str">
        <f t="shared" si="5"/>
        <v>女</v>
      </c>
    </row>
    <row r="82" spans="1:5" ht="30" customHeight="1">
      <c r="A82" s="4">
        <v>80</v>
      </c>
      <c r="B82" s="4" t="str">
        <f>"39712022060418464689230"</f>
        <v>39712022060418464689230</v>
      </c>
      <c r="C82" s="4" t="s">
        <v>5</v>
      </c>
      <c r="D82" s="4" t="str">
        <f>"黄孟丽"</f>
        <v>黄孟丽</v>
      </c>
      <c r="E82" s="4" t="str">
        <f t="shared" si="5"/>
        <v>女</v>
      </c>
    </row>
    <row r="83" spans="1:5" ht="30" customHeight="1">
      <c r="A83" s="4">
        <v>81</v>
      </c>
      <c r="B83" s="4" t="str">
        <f>"39712022060421271489392"</f>
        <v>39712022060421271489392</v>
      </c>
      <c r="C83" s="4" t="s">
        <v>5</v>
      </c>
      <c r="D83" s="4" t="str">
        <f>"钟林蓉"</f>
        <v>钟林蓉</v>
      </c>
      <c r="E83" s="4" t="str">
        <f t="shared" si="5"/>
        <v>女</v>
      </c>
    </row>
    <row r="84" spans="1:5" ht="30" customHeight="1">
      <c r="A84" s="4">
        <v>82</v>
      </c>
      <c r="B84" s="4" t="str">
        <f>"39712022060421360389401"</f>
        <v>39712022060421360389401</v>
      </c>
      <c r="C84" s="4" t="s">
        <v>5</v>
      </c>
      <c r="D84" s="4" t="str">
        <f>"陈小雨"</f>
        <v>陈小雨</v>
      </c>
      <c r="E84" s="4" t="str">
        <f t="shared" si="5"/>
        <v>女</v>
      </c>
    </row>
    <row r="85" spans="1:5" ht="30" customHeight="1">
      <c r="A85" s="4">
        <v>83</v>
      </c>
      <c r="B85" s="4" t="str">
        <f>"39712022060421445489410"</f>
        <v>39712022060421445489410</v>
      </c>
      <c r="C85" s="4" t="s">
        <v>5</v>
      </c>
      <c r="D85" s="4" t="str">
        <f>"蔡倩雅"</f>
        <v>蔡倩雅</v>
      </c>
      <c r="E85" s="4" t="str">
        <f t="shared" si="5"/>
        <v>女</v>
      </c>
    </row>
    <row r="86" spans="1:5" ht="30" customHeight="1">
      <c r="A86" s="4">
        <v>84</v>
      </c>
      <c r="B86" s="4" t="str">
        <f>"39712022060423040089495"</f>
        <v>39712022060423040089495</v>
      </c>
      <c r="C86" s="4" t="s">
        <v>5</v>
      </c>
      <c r="D86" s="4" t="str">
        <f>"吴彩兰"</f>
        <v>吴彩兰</v>
      </c>
      <c r="E86" s="4" t="str">
        <f t="shared" si="5"/>
        <v>女</v>
      </c>
    </row>
    <row r="87" spans="1:5" ht="30" customHeight="1">
      <c r="A87" s="4">
        <v>85</v>
      </c>
      <c r="B87" s="4" t="str">
        <f>"39712022060500005989547"</f>
        <v>39712022060500005989547</v>
      </c>
      <c r="C87" s="4" t="s">
        <v>5</v>
      </c>
      <c r="D87" s="4" t="str">
        <f>"林涵"</f>
        <v>林涵</v>
      </c>
      <c r="E87" s="4" t="str">
        <f t="shared" si="5"/>
        <v>女</v>
      </c>
    </row>
    <row r="88" spans="1:5" ht="30" customHeight="1">
      <c r="A88" s="4">
        <v>86</v>
      </c>
      <c r="B88" s="4" t="str">
        <f>"39712022060511092489862"</f>
        <v>39712022060511092489862</v>
      </c>
      <c r="C88" s="4" t="s">
        <v>5</v>
      </c>
      <c r="D88" s="4" t="str">
        <f>"羊英彩"</f>
        <v>羊英彩</v>
      </c>
      <c r="E88" s="4" t="str">
        <f t="shared" si="5"/>
        <v>女</v>
      </c>
    </row>
    <row r="89" spans="1:5" ht="30" customHeight="1">
      <c r="A89" s="4">
        <v>87</v>
      </c>
      <c r="B89" s="4" t="str">
        <f>"39712022060512305189981"</f>
        <v>39712022060512305189981</v>
      </c>
      <c r="C89" s="4" t="s">
        <v>5</v>
      </c>
      <c r="D89" s="4" t="str">
        <f>"吴娟爱"</f>
        <v>吴娟爱</v>
      </c>
      <c r="E89" s="4" t="str">
        <f t="shared" si="5"/>
        <v>女</v>
      </c>
    </row>
    <row r="90" spans="1:5" ht="30" customHeight="1">
      <c r="A90" s="4">
        <v>88</v>
      </c>
      <c r="B90" s="4" t="str">
        <f>"39712022060512595290009"</f>
        <v>39712022060512595290009</v>
      </c>
      <c r="C90" s="4" t="s">
        <v>5</v>
      </c>
      <c r="D90" s="4" t="str">
        <f>"王忠嫣"</f>
        <v>王忠嫣</v>
      </c>
      <c r="E90" s="4" t="str">
        <f t="shared" si="5"/>
        <v>女</v>
      </c>
    </row>
    <row r="91" spans="1:5" ht="30" customHeight="1">
      <c r="A91" s="4">
        <v>89</v>
      </c>
      <c r="B91" s="4" t="str">
        <f>"39712022060513521790086"</f>
        <v>39712022060513521790086</v>
      </c>
      <c r="C91" s="4" t="s">
        <v>5</v>
      </c>
      <c r="D91" s="4" t="str">
        <f>"胡佳佳"</f>
        <v>胡佳佳</v>
      </c>
      <c r="E91" s="4" t="str">
        <f t="shared" si="5"/>
        <v>女</v>
      </c>
    </row>
    <row r="92" spans="1:5" ht="30" customHeight="1">
      <c r="A92" s="4">
        <v>90</v>
      </c>
      <c r="B92" s="4" t="str">
        <f>"39712022060514311290126"</f>
        <v>39712022060514311290126</v>
      </c>
      <c r="C92" s="4" t="s">
        <v>5</v>
      </c>
      <c r="D92" s="4" t="str">
        <f>"甘银雪"</f>
        <v>甘银雪</v>
      </c>
      <c r="E92" s="4" t="str">
        <f t="shared" si="5"/>
        <v>女</v>
      </c>
    </row>
    <row r="93" spans="1:5" ht="30" customHeight="1">
      <c r="A93" s="4">
        <v>91</v>
      </c>
      <c r="B93" s="4" t="str">
        <f>"39712022060521092290655"</f>
        <v>39712022060521092290655</v>
      </c>
      <c r="C93" s="4" t="s">
        <v>5</v>
      </c>
      <c r="D93" s="4" t="str">
        <f>"蔡怡欣"</f>
        <v>蔡怡欣</v>
      </c>
      <c r="E93" s="4" t="str">
        <f t="shared" si="5"/>
        <v>女</v>
      </c>
    </row>
    <row r="94" spans="1:5" ht="30" customHeight="1">
      <c r="A94" s="4">
        <v>92</v>
      </c>
      <c r="B94" s="4" t="str">
        <f>"39712022060523293290952"</f>
        <v>39712022060523293290952</v>
      </c>
      <c r="C94" s="4" t="s">
        <v>5</v>
      </c>
      <c r="D94" s="4" t="str">
        <f>"林珂璐"</f>
        <v>林珂璐</v>
      </c>
      <c r="E94" s="4" t="str">
        <f t="shared" si="5"/>
        <v>女</v>
      </c>
    </row>
    <row r="95" spans="1:5" ht="30" customHeight="1">
      <c r="A95" s="4">
        <v>93</v>
      </c>
      <c r="B95" s="4" t="str">
        <f>"39712022060602130391024"</f>
        <v>39712022060602130391024</v>
      </c>
      <c r="C95" s="4" t="s">
        <v>5</v>
      </c>
      <c r="D95" s="4" t="str">
        <f>"李定爱"</f>
        <v>李定爱</v>
      </c>
      <c r="E95" s="4" t="str">
        <f t="shared" si="5"/>
        <v>女</v>
      </c>
    </row>
    <row r="96" spans="1:5" ht="30" customHeight="1">
      <c r="A96" s="4">
        <v>94</v>
      </c>
      <c r="B96" s="4" t="str">
        <f>"39712022060610390894154"</f>
        <v>39712022060610390894154</v>
      </c>
      <c r="C96" s="4" t="s">
        <v>5</v>
      </c>
      <c r="D96" s="4" t="str">
        <f>"关义帅"</f>
        <v>关义帅</v>
      </c>
      <c r="E96" s="4" t="str">
        <f>"男"</f>
        <v>男</v>
      </c>
    </row>
    <row r="97" spans="1:5" ht="30" customHeight="1">
      <c r="A97" s="4">
        <v>95</v>
      </c>
      <c r="B97" s="4" t="str">
        <f>"39712022060611520995530"</f>
        <v>39712022060611520995530</v>
      </c>
      <c r="C97" s="4" t="s">
        <v>5</v>
      </c>
      <c r="D97" s="4" t="str">
        <f>"王淇"</f>
        <v>王淇</v>
      </c>
      <c r="E97" s="4" t="str">
        <f aca="true" t="shared" si="6" ref="E97:E109">"女"</f>
        <v>女</v>
      </c>
    </row>
    <row r="98" spans="1:5" ht="30" customHeight="1">
      <c r="A98" s="4">
        <v>96</v>
      </c>
      <c r="B98" s="4" t="str">
        <f>"39712022060611555695587"</f>
        <v>39712022060611555695587</v>
      </c>
      <c r="C98" s="4" t="s">
        <v>5</v>
      </c>
      <c r="D98" s="4" t="str">
        <f>"张雯昕"</f>
        <v>张雯昕</v>
      </c>
      <c r="E98" s="4" t="str">
        <f t="shared" si="6"/>
        <v>女</v>
      </c>
    </row>
    <row r="99" spans="1:5" ht="30" customHeight="1">
      <c r="A99" s="4">
        <v>97</v>
      </c>
      <c r="B99" s="4" t="str">
        <f>"39712022060612390896117"</f>
        <v>39712022060612390896117</v>
      </c>
      <c r="C99" s="4" t="s">
        <v>5</v>
      </c>
      <c r="D99" s="4" t="str">
        <f>"何丽秋"</f>
        <v>何丽秋</v>
      </c>
      <c r="E99" s="4" t="str">
        <f t="shared" si="6"/>
        <v>女</v>
      </c>
    </row>
    <row r="100" spans="1:5" ht="30" customHeight="1">
      <c r="A100" s="4">
        <v>98</v>
      </c>
      <c r="B100" s="4" t="str">
        <f>"39712022060613123396461"</f>
        <v>39712022060613123396461</v>
      </c>
      <c r="C100" s="4" t="s">
        <v>5</v>
      </c>
      <c r="D100" s="4" t="str">
        <f>"吴晓敏"</f>
        <v>吴晓敏</v>
      </c>
      <c r="E100" s="4" t="str">
        <f t="shared" si="6"/>
        <v>女</v>
      </c>
    </row>
    <row r="101" spans="1:5" ht="30" customHeight="1">
      <c r="A101" s="4">
        <v>99</v>
      </c>
      <c r="B101" s="4" t="str">
        <f>"39712022060613165096504"</f>
        <v>39712022060613165096504</v>
      </c>
      <c r="C101" s="4" t="s">
        <v>5</v>
      </c>
      <c r="D101" s="4" t="str">
        <f>"林施妹"</f>
        <v>林施妹</v>
      </c>
      <c r="E101" s="4" t="str">
        <f t="shared" si="6"/>
        <v>女</v>
      </c>
    </row>
    <row r="102" spans="1:5" ht="30" customHeight="1">
      <c r="A102" s="4">
        <v>100</v>
      </c>
      <c r="B102" s="4" t="str">
        <f>"39712022060613505996772"</f>
        <v>39712022060613505996772</v>
      </c>
      <c r="C102" s="4" t="s">
        <v>5</v>
      </c>
      <c r="D102" s="4" t="str">
        <f>"吴冬妮"</f>
        <v>吴冬妮</v>
      </c>
      <c r="E102" s="4" t="str">
        <f t="shared" si="6"/>
        <v>女</v>
      </c>
    </row>
    <row r="103" spans="1:5" ht="30" customHeight="1">
      <c r="A103" s="4">
        <v>101</v>
      </c>
      <c r="B103" s="4" t="str">
        <f>"39712022060616422098875"</f>
        <v>39712022060616422098875</v>
      </c>
      <c r="C103" s="4" t="s">
        <v>5</v>
      </c>
      <c r="D103" s="4" t="str">
        <f>"杨小叶"</f>
        <v>杨小叶</v>
      </c>
      <c r="E103" s="4" t="str">
        <f t="shared" si="6"/>
        <v>女</v>
      </c>
    </row>
    <row r="104" spans="1:5" ht="30" customHeight="1">
      <c r="A104" s="4">
        <v>102</v>
      </c>
      <c r="B104" s="4" t="str">
        <f>"39712022060616451898913"</f>
        <v>39712022060616451898913</v>
      </c>
      <c r="C104" s="4" t="s">
        <v>5</v>
      </c>
      <c r="D104" s="4" t="str">
        <f>"王蕾"</f>
        <v>王蕾</v>
      </c>
      <c r="E104" s="4" t="str">
        <f t="shared" si="6"/>
        <v>女</v>
      </c>
    </row>
    <row r="105" spans="1:5" ht="30" customHeight="1">
      <c r="A105" s="4">
        <v>103</v>
      </c>
      <c r="B105" s="4" t="str">
        <f>"39712022060617034099123"</f>
        <v>39712022060617034099123</v>
      </c>
      <c r="C105" s="4" t="s">
        <v>5</v>
      </c>
      <c r="D105" s="4" t="str">
        <f>"符锦霞"</f>
        <v>符锦霞</v>
      </c>
      <c r="E105" s="4" t="str">
        <f t="shared" si="6"/>
        <v>女</v>
      </c>
    </row>
    <row r="106" spans="1:5" ht="30" customHeight="1">
      <c r="A106" s="4">
        <v>104</v>
      </c>
      <c r="B106" s="4" t="str">
        <f>"39712022060617042199130"</f>
        <v>39712022060617042199130</v>
      </c>
      <c r="C106" s="4" t="s">
        <v>5</v>
      </c>
      <c r="D106" s="4" t="str">
        <f>"马丹"</f>
        <v>马丹</v>
      </c>
      <c r="E106" s="4" t="str">
        <f t="shared" si="6"/>
        <v>女</v>
      </c>
    </row>
    <row r="107" spans="1:5" ht="30" customHeight="1">
      <c r="A107" s="4">
        <v>105</v>
      </c>
      <c r="B107" s="4" t="str">
        <f>"39712022060618044999712"</f>
        <v>39712022060618044999712</v>
      </c>
      <c r="C107" s="4" t="s">
        <v>5</v>
      </c>
      <c r="D107" s="4" t="str">
        <f>"羊焕莲"</f>
        <v>羊焕莲</v>
      </c>
      <c r="E107" s="4" t="str">
        <f t="shared" si="6"/>
        <v>女</v>
      </c>
    </row>
    <row r="108" spans="1:5" ht="30" customHeight="1">
      <c r="A108" s="4">
        <v>106</v>
      </c>
      <c r="B108" s="4" t="str">
        <f>"39712022060618211299859"</f>
        <v>39712022060618211299859</v>
      </c>
      <c r="C108" s="4" t="s">
        <v>5</v>
      </c>
      <c r="D108" s="4" t="str">
        <f>"陈慧萍"</f>
        <v>陈慧萍</v>
      </c>
      <c r="E108" s="4" t="str">
        <f t="shared" si="6"/>
        <v>女</v>
      </c>
    </row>
    <row r="109" spans="1:5" ht="30" customHeight="1">
      <c r="A109" s="4">
        <v>107</v>
      </c>
      <c r="B109" s="4" t="str">
        <f>"39712022060618380899988"</f>
        <v>39712022060618380899988</v>
      </c>
      <c r="C109" s="4" t="s">
        <v>5</v>
      </c>
      <c r="D109" s="4" t="str">
        <f>"何含莹"</f>
        <v>何含莹</v>
      </c>
      <c r="E109" s="4" t="str">
        <f t="shared" si="6"/>
        <v>女</v>
      </c>
    </row>
    <row r="110" spans="1:5" ht="30" customHeight="1">
      <c r="A110" s="4">
        <v>108</v>
      </c>
      <c r="B110" s="4" t="str">
        <f>"397120220606184901100074"</f>
        <v>397120220606184901100074</v>
      </c>
      <c r="C110" s="4" t="s">
        <v>5</v>
      </c>
      <c r="D110" s="4" t="str">
        <f>"蔡权"</f>
        <v>蔡权</v>
      </c>
      <c r="E110" s="4" t="str">
        <f>"男"</f>
        <v>男</v>
      </c>
    </row>
    <row r="111" spans="1:5" ht="30" customHeight="1">
      <c r="A111" s="4">
        <v>109</v>
      </c>
      <c r="B111" s="4" t="str">
        <f>"397120220606192857100400"</f>
        <v>397120220606192857100400</v>
      </c>
      <c r="C111" s="4" t="s">
        <v>5</v>
      </c>
      <c r="D111" s="4" t="str">
        <f>"陈梦怡"</f>
        <v>陈梦怡</v>
      </c>
      <c r="E111" s="4" t="str">
        <f aca="true" t="shared" si="7" ref="E111:E120">"女"</f>
        <v>女</v>
      </c>
    </row>
    <row r="112" spans="1:5" ht="30" customHeight="1">
      <c r="A112" s="4">
        <v>110</v>
      </c>
      <c r="B112" s="4" t="str">
        <f>"397120220606195354100600"</f>
        <v>397120220606195354100600</v>
      </c>
      <c r="C112" s="4" t="s">
        <v>5</v>
      </c>
      <c r="D112" s="4" t="str">
        <f>"曾慧莹"</f>
        <v>曾慧莹</v>
      </c>
      <c r="E112" s="4" t="str">
        <f t="shared" si="7"/>
        <v>女</v>
      </c>
    </row>
    <row r="113" spans="1:5" ht="30" customHeight="1">
      <c r="A113" s="4">
        <v>111</v>
      </c>
      <c r="B113" s="4" t="str">
        <f>"397120220606210957101231"</f>
        <v>397120220606210957101231</v>
      </c>
      <c r="C113" s="4" t="s">
        <v>5</v>
      </c>
      <c r="D113" s="4" t="str">
        <f>"李少花"</f>
        <v>李少花</v>
      </c>
      <c r="E113" s="4" t="str">
        <f t="shared" si="7"/>
        <v>女</v>
      </c>
    </row>
    <row r="114" spans="1:5" ht="30" customHeight="1">
      <c r="A114" s="4">
        <v>112</v>
      </c>
      <c r="B114" s="4" t="str">
        <f>"397120220606212554101369"</f>
        <v>397120220606212554101369</v>
      </c>
      <c r="C114" s="4" t="s">
        <v>5</v>
      </c>
      <c r="D114" s="4" t="str">
        <f>"吴心怡"</f>
        <v>吴心怡</v>
      </c>
      <c r="E114" s="4" t="str">
        <f t="shared" si="7"/>
        <v>女</v>
      </c>
    </row>
    <row r="115" spans="1:5" ht="30" customHeight="1">
      <c r="A115" s="4">
        <v>113</v>
      </c>
      <c r="B115" s="4" t="str">
        <f>"397120220606224411102053"</f>
        <v>397120220606224411102053</v>
      </c>
      <c r="C115" s="4" t="s">
        <v>5</v>
      </c>
      <c r="D115" s="4" t="str">
        <f>"王晓娜"</f>
        <v>王晓娜</v>
      </c>
      <c r="E115" s="4" t="str">
        <f t="shared" si="7"/>
        <v>女</v>
      </c>
    </row>
    <row r="116" spans="1:5" ht="30" customHeight="1">
      <c r="A116" s="4">
        <v>114</v>
      </c>
      <c r="B116" s="4" t="str">
        <f>"397120220607150444106782"</f>
        <v>397120220607150444106782</v>
      </c>
      <c r="C116" s="4" t="s">
        <v>5</v>
      </c>
      <c r="D116" s="4" t="str">
        <f>"庞琦"</f>
        <v>庞琦</v>
      </c>
      <c r="E116" s="4" t="str">
        <f t="shared" si="7"/>
        <v>女</v>
      </c>
    </row>
    <row r="117" spans="1:5" ht="30" customHeight="1">
      <c r="A117" s="4">
        <v>115</v>
      </c>
      <c r="B117" s="4" t="str">
        <f>"397120220607151258106870"</f>
        <v>397120220607151258106870</v>
      </c>
      <c r="C117" s="4" t="s">
        <v>5</v>
      </c>
      <c r="D117" s="4" t="str">
        <f>"宋金茹"</f>
        <v>宋金茹</v>
      </c>
      <c r="E117" s="4" t="str">
        <f t="shared" si="7"/>
        <v>女</v>
      </c>
    </row>
    <row r="118" spans="1:5" ht="30" customHeight="1">
      <c r="A118" s="4">
        <v>116</v>
      </c>
      <c r="B118" s="4" t="str">
        <f>"397120220607151350106878"</f>
        <v>397120220607151350106878</v>
      </c>
      <c r="C118" s="4" t="s">
        <v>5</v>
      </c>
      <c r="D118" s="4" t="str">
        <f>"陈柳频"</f>
        <v>陈柳频</v>
      </c>
      <c r="E118" s="4" t="str">
        <f t="shared" si="7"/>
        <v>女</v>
      </c>
    </row>
    <row r="119" spans="1:5" ht="30" customHeight="1">
      <c r="A119" s="4">
        <v>117</v>
      </c>
      <c r="B119" s="4" t="str">
        <f>"397120220607171625108126"</f>
        <v>397120220607171625108126</v>
      </c>
      <c r="C119" s="4" t="s">
        <v>5</v>
      </c>
      <c r="D119" s="4" t="str">
        <f>"陈予娇"</f>
        <v>陈予娇</v>
      </c>
      <c r="E119" s="4" t="str">
        <f t="shared" si="7"/>
        <v>女</v>
      </c>
    </row>
    <row r="120" spans="1:5" ht="30" customHeight="1">
      <c r="A120" s="4">
        <v>118</v>
      </c>
      <c r="B120" s="4" t="str">
        <f>"397120220607175332108431"</f>
        <v>397120220607175332108431</v>
      </c>
      <c r="C120" s="4" t="s">
        <v>5</v>
      </c>
      <c r="D120" s="4" t="str">
        <f>"黎玉香"</f>
        <v>黎玉香</v>
      </c>
      <c r="E120" s="4" t="str">
        <f t="shared" si="7"/>
        <v>女</v>
      </c>
    </row>
    <row r="121" spans="1:5" ht="30" customHeight="1">
      <c r="A121" s="4">
        <v>119</v>
      </c>
      <c r="B121" s="4" t="str">
        <f>"397120220607214405109941"</f>
        <v>397120220607214405109941</v>
      </c>
      <c r="C121" s="4" t="s">
        <v>5</v>
      </c>
      <c r="D121" s="4" t="str">
        <f>"徐智"</f>
        <v>徐智</v>
      </c>
      <c r="E121" s="4" t="str">
        <f>"男"</f>
        <v>男</v>
      </c>
    </row>
    <row r="122" spans="1:5" ht="30" customHeight="1">
      <c r="A122" s="4">
        <v>120</v>
      </c>
      <c r="B122" s="4" t="str">
        <f>"397120220608101330111798"</f>
        <v>397120220608101330111798</v>
      </c>
      <c r="C122" s="4" t="s">
        <v>5</v>
      </c>
      <c r="D122" s="4" t="str">
        <f>"邵青"</f>
        <v>邵青</v>
      </c>
      <c r="E122" s="4" t="str">
        <f>"女"</f>
        <v>女</v>
      </c>
    </row>
    <row r="123" spans="1:5" ht="30" customHeight="1">
      <c r="A123" s="4">
        <v>121</v>
      </c>
      <c r="B123" s="4" t="str">
        <f>"39712022060109080678253"</f>
        <v>39712022060109080678253</v>
      </c>
      <c r="C123" s="4" t="s">
        <v>6</v>
      </c>
      <c r="D123" s="4" t="str">
        <f>"欧阳继继"</f>
        <v>欧阳继继</v>
      </c>
      <c r="E123" s="4" t="str">
        <f>"男"</f>
        <v>男</v>
      </c>
    </row>
    <row r="124" spans="1:5" ht="30" customHeight="1">
      <c r="A124" s="4">
        <v>122</v>
      </c>
      <c r="B124" s="4" t="str">
        <f>"39712022060112175379701"</f>
        <v>39712022060112175379701</v>
      </c>
      <c r="C124" s="4" t="s">
        <v>6</v>
      </c>
      <c r="D124" s="4" t="str">
        <f>"王仔俊"</f>
        <v>王仔俊</v>
      </c>
      <c r="E124" s="4" t="str">
        <f>"男"</f>
        <v>男</v>
      </c>
    </row>
    <row r="125" spans="1:5" ht="30" customHeight="1">
      <c r="A125" s="4">
        <v>123</v>
      </c>
      <c r="B125" s="4" t="str">
        <f>"39712022060115124080498"</f>
        <v>39712022060115124080498</v>
      </c>
      <c r="C125" s="4" t="s">
        <v>6</v>
      </c>
      <c r="D125" s="4" t="str">
        <f>"林琳"</f>
        <v>林琳</v>
      </c>
      <c r="E125" s="4" t="str">
        <f>"女"</f>
        <v>女</v>
      </c>
    </row>
    <row r="126" spans="1:5" ht="30" customHeight="1">
      <c r="A126" s="4">
        <v>124</v>
      </c>
      <c r="B126" s="4" t="str">
        <f>"39712022060116521381094"</f>
        <v>39712022060116521381094</v>
      </c>
      <c r="C126" s="4" t="s">
        <v>6</v>
      </c>
      <c r="D126" s="4" t="str">
        <f>"林建民"</f>
        <v>林建民</v>
      </c>
      <c r="E126" s="4" t="str">
        <f>"男"</f>
        <v>男</v>
      </c>
    </row>
    <row r="127" spans="1:5" ht="30" customHeight="1">
      <c r="A127" s="4">
        <v>125</v>
      </c>
      <c r="B127" s="4" t="str">
        <f>"39712022060118384281620"</f>
        <v>39712022060118384281620</v>
      </c>
      <c r="C127" s="4" t="s">
        <v>6</v>
      </c>
      <c r="D127" s="4" t="str">
        <f>"王承修"</f>
        <v>王承修</v>
      </c>
      <c r="E127" s="4" t="str">
        <f>"男"</f>
        <v>男</v>
      </c>
    </row>
    <row r="128" spans="1:5" ht="30" customHeight="1">
      <c r="A128" s="4">
        <v>126</v>
      </c>
      <c r="B128" s="4" t="str">
        <f>"39712022060119384981859"</f>
        <v>39712022060119384981859</v>
      </c>
      <c r="C128" s="4" t="s">
        <v>6</v>
      </c>
      <c r="D128" s="4" t="str">
        <f>"唱润娇"</f>
        <v>唱润娇</v>
      </c>
      <c r="E128" s="4" t="str">
        <f>"女"</f>
        <v>女</v>
      </c>
    </row>
    <row r="129" spans="1:5" ht="30" customHeight="1">
      <c r="A129" s="4">
        <v>127</v>
      </c>
      <c r="B129" s="4" t="str">
        <f>"39712022060122002682557"</f>
        <v>39712022060122002682557</v>
      </c>
      <c r="C129" s="4" t="s">
        <v>6</v>
      </c>
      <c r="D129" s="4" t="str">
        <f>"何远阳"</f>
        <v>何远阳</v>
      </c>
      <c r="E129" s="4" t="str">
        <f>"女"</f>
        <v>女</v>
      </c>
    </row>
    <row r="130" spans="1:5" ht="30" customHeight="1">
      <c r="A130" s="4">
        <v>128</v>
      </c>
      <c r="B130" s="4" t="str">
        <f>"39712022060122092882609"</f>
        <v>39712022060122092882609</v>
      </c>
      <c r="C130" s="4" t="s">
        <v>6</v>
      </c>
      <c r="D130" s="4" t="str">
        <f>"李芳芳"</f>
        <v>李芳芳</v>
      </c>
      <c r="E130" s="4" t="str">
        <f>"女"</f>
        <v>女</v>
      </c>
    </row>
    <row r="131" spans="1:5" ht="30" customHeight="1">
      <c r="A131" s="4">
        <v>129</v>
      </c>
      <c r="B131" s="4" t="str">
        <f>"39712022060123063882888"</f>
        <v>39712022060123063882888</v>
      </c>
      <c r="C131" s="4" t="s">
        <v>6</v>
      </c>
      <c r="D131" s="4" t="str">
        <f>"黄森"</f>
        <v>黄森</v>
      </c>
      <c r="E131" s="4" t="str">
        <f>"男"</f>
        <v>男</v>
      </c>
    </row>
    <row r="132" spans="1:5" ht="30" customHeight="1">
      <c r="A132" s="4">
        <v>130</v>
      </c>
      <c r="B132" s="4" t="str">
        <f>"39712022060123545683032"</f>
        <v>39712022060123545683032</v>
      </c>
      <c r="C132" s="4" t="s">
        <v>6</v>
      </c>
      <c r="D132" s="4" t="str">
        <f>"陈思盈"</f>
        <v>陈思盈</v>
      </c>
      <c r="E132" s="4" t="str">
        <f>"女"</f>
        <v>女</v>
      </c>
    </row>
    <row r="133" spans="1:5" ht="30" customHeight="1">
      <c r="A133" s="4">
        <v>131</v>
      </c>
      <c r="B133" s="4" t="str">
        <f>"39712022060211193884548"</f>
        <v>39712022060211193884548</v>
      </c>
      <c r="C133" s="4" t="s">
        <v>6</v>
      </c>
      <c r="D133" s="4" t="str">
        <f>"吴慧敏"</f>
        <v>吴慧敏</v>
      </c>
      <c r="E133" s="4" t="str">
        <f>"女"</f>
        <v>女</v>
      </c>
    </row>
    <row r="134" spans="1:5" ht="30" customHeight="1">
      <c r="A134" s="4">
        <v>132</v>
      </c>
      <c r="B134" s="4" t="str">
        <f>"39712022060212052684790"</f>
        <v>39712022060212052684790</v>
      </c>
      <c r="C134" s="4" t="s">
        <v>6</v>
      </c>
      <c r="D134" s="4" t="str">
        <f>"王艳芳"</f>
        <v>王艳芳</v>
      </c>
      <c r="E134" s="4" t="str">
        <f>"女"</f>
        <v>女</v>
      </c>
    </row>
    <row r="135" spans="1:5" ht="30" customHeight="1">
      <c r="A135" s="4">
        <v>133</v>
      </c>
      <c r="B135" s="4" t="str">
        <f>"39712022060216501786264"</f>
        <v>39712022060216501786264</v>
      </c>
      <c r="C135" s="4" t="s">
        <v>6</v>
      </c>
      <c r="D135" s="4" t="str">
        <f>"王玮"</f>
        <v>王玮</v>
      </c>
      <c r="E135" s="4" t="str">
        <f>"男"</f>
        <v>男</v>
      </c>
    </row>
    <row r="136" spans="1:5" ht="30" customHeight="1">
      <c r="A136" s="4">
        <v>134</v>
      </c>
      <c r="B136" s="4" t="str">
        <f>"39712022060222213487369"</f>
        <v>39712022060222213487369</v>
      </c>
      <c r="C136" s="4" t="s">
        <v>6</v>
      </c>
      <c r="D136" s="4" t="str">
        <f>"赵广"</f>
        <v>赵广</v>
      </c>
      <c r="E136" s="4" t="str">
        <f>"男"</f>
        <v>男</v>
      </c>
    </row>
    <row r="137" spans="1:5" ht="30" customHeight="1">
      <c r="A137" s="4">
        <v>135</v>
      </c>
      <c r="B137" s="4" t="str">
        <f>"39712022060312125487904"</f>
        <v>39712022060312125487904</v>
      </c>
      <c r="C137" s="4" t="s">
        <v>6</v>
      </c>
      <c r="D137" s="4" t="str">
        <f>"宋石星宇"</f>
        <v>宋石星宇</v>
      </c>
      <c r="E137" s="4" t="str">
        <f>"男"</f>
        <v>男</v>
      </c>
    </row>
    <row r="138" spans="1:5" ht="30" customHeight="1">
      <c r="A138" s="4">
        <v>136</v>
      </c>
      <c r="B138" s="4" t="str">
        <f>"39712022060312583387941"</f>
        <v>39712022060312583387941</v>
      </c>
      <c r="C138" s="4" t="s">
        <v>6</v>
      </c>
      <c r="D138" s="4" t="str">
        <f>"符传妹"</f>
        <v>符传妹</v>
      </c>
      <c r="E138" s="4" t="str">
        <f>"女"</f>
        <v>女</v>
      </c>
    </row>
    <row r="139" spans="1:5" ht="30" customHeight="1">
      <c r="A139" s="4">
        <v>137</v>
      </c>
      <c r="B139" s="4" t="str">
        <f>"39712022060318432288248"</f>
        <v>39712022060318432288248</v>
      </c>
      <c r="C139" s="4" t="s">
        <v>6</v>
      </c>
      <c r="D139" s="4" t="str">
        <f>"车成杰"</f>
        <v>车成杰</v>
      </c>
      <c r="E139" s="4" t="str">
        <f>"男"</f>
        <v>男</v>
      </c>
    </row>
    <row r="140" spans="1:5" ht="30" customHeight="1">
      <c r="A140" s="4">
        <v>138</v>
      </c>
      <c r="B140" s="4" t="str">
        <f>"39712022060320515788367"</f>
        <v>39712022060320515788367</v>
      </c>
      <c r="C140" s="4" t="s">
        <v>6</v>
      </c>
      <c r="D140" s="4" t="str">
        <f>"车少义"</f>
        <v>车少义</v>
      </c>
      <c r="E140" s="4" t="str">
        <f>"男"</f>
        <v>男</v>
      </c>
    </row>
    <row r="141" spans="1:5" ht="30" customHeight="1">
      <c r="A141" s="4">
        <v>139</v>
      </c>
      <c r="B141" s="4" t="str">
        <f>"39712022060400134888551"</f>
        <v>39712022060400134888551</v>
      </c>
      <c r="C141" s="4" t="s">
        <v>6</v>
      </c>
      <c r="D141" s="4" t="str">
        <f>"陈东一"</f>
        <v>陈东一</v>
      </c>
      <c r="E141" s="4" t="str">
        <f>"男"</f>
        <v>男</v>
      </c>
    </row>
    <row r="142" spans="1:5" ht="30" customHeight="1">
      <c r="A142" s="4">
        <v>140</v>
      </c>
      <c r="B142" s="4" t="str">
        <f>"39712022060414310288967"</f>
        <v>39712022060414310288967</v>
      </c>
      <c r="C142" s="4" t="s">
        <v>6</v>
      </c>
      <c r="D142" s="4" t="str">
        <f>"葛星源"</f>
        <v>葛星源</v>
      </c>
      <c r="E142" s="4" t="str">
        <f>"男"</f>
        <v>男</v>
      </c>
    </row>
    <row r="143" spans="1:5" ht="30" customHeight="1">
      <c r="A143" s="4">
        <v>141</v>
      </c>
      <c r="B143" s="4" t="str">
        <f>"39712022060422364089465"</f>
        <v>39712022060422364089465</v>
      </c>
      <c r="C143" s="4" t="s">
        <v>6</v>
      </c>
      <c r="D143" s="4" t="str">
        <f>"王金容"</f>
        <v>王金容</v>
      </c>
      <c r="E143" s="4" t="str">
        <f>"女"</f>
        <v>女</v>
      </c>
    </row>
    <row r="144" spans="1:5" ht="30" customHeight="1">
      <c r="A144" s="4">
        <v>142</v>
      </c>
      <c r="B144" s="4" t="str">
        <f>"39712022060422435389474"</f>
        <v>39712022060422435389474</v>
      </c>
      <c r="C144" s="4" t="s">
        <v>6</v>
      </c>
      <c r="D144" s="4" t="str">
        <f>"陈元才"</f>
        <v>陈元才</v>
      </c>
      <c r="E144" s="4" t="str">
        <f aca="true" t="shared" si="8" ref="E144:E153">"男"</f>
        <v>男</v>
      </c>
    </row>
    <row r="145" spans="1:5" ht="30" customHeight="1">
      <c r="A145" s="4">
        <v>143</v>
      </c>
      <c r="B145" s="4" t="str">
        <f>"39712022060513445490074"</f>
        <v>39712022060513445490074</v>
      </c>
      <c r="C145" s="4" t="s">
        <v>6</v>
      </c>
      <c r="D145" s="4" t="str">
        <f>"陈荣健"</f>
        <v>陈荣健</v>
      </c>
      <c r="E145" s="4" t="str">
        <f t="shared" si="8"/>
        <v>男</v>
      </c>
    </row>
    <row r="146" spans="1:5" ht="30" customHeight="1">
      <c r="A146" s="4">
        <v>144</v>
      </c>
      <c r="B146" s="4" t="str">
        <f>"39712022060513461690079"</f>
        <v>39712022060513461690079</v>
      </c>
      <c r="C146" s="4" t="s">
        <v>6</v>
      </c>
      <c r="D146" s="4" t="str">
        <f>"林鑫宇"</f>
        <v>林鑫宇</v>
      </c>
      <c r="E146" s="4" t="str">
        <f t="shared" si="8"/>
        <v>男</v>
      </c>
    </row>
    <row r="147" spans="1:5" ht="30" customHeight="1">
      <c r="A147" s="4">
        <v>145</v>
      </c>
      <c r="B147" s="4" t="str">
        <f>"39712022060514170390107"</f>
        <v>39712022060514170390107</v>
      </c>
      <c r="C147" s="4" t="s">
        <v>6</v>
      </c>
      <c r="D147" s="4" t="str">
        <f>"林尤智"</f>
        <v>林尤智</v>
      </c>
      <c r="E147" s="4" t="str">
        <f t="shared" si="8"/>
        <v>男</v>
      </c>
    </row>
    <row r="148" spans="1:5" ht="30" customHeight="1">
      <c r="A148" s="4">
        <v>146</v>
      </c>
      <c r="B148" s="4" t="str">
        <f>"39712022060516250090265"</f>
        <v>39712022060516250090265</v>
      </c>
      <c r="C148" s="4" t="s">
        <v>6</v>
      </c>
      <c r="D148" s="4" t="str">
        <f>"蔡兴超"</f>
        <v>蔡兴超</v>
      </c>
      <c r="E148" s="4" t="str">
        <f t="shared" si="8"/>
        <v>男</v>
      </c>
    </row>
    <row r="149" spans="1:5" ht="30" customHeight="1">
      <c r="A149" s="4">
        <v>147</v>
      </c>
      <c r="B149" s="4" t="str">
        <f>"39712022060518070690424"</f>
        <v>39712022060518070690424</v>
      </c>
      <c r="C149" s="4" t="s">
        <v>6</v>
      </c>
      <c r="D149" s="4" t="str">
        <f>"司鸿基"</f>
        <v>司鸿基</v>
      </c>
      <c r="E149" s="4" t="str">
        <f t="shared" si="8"/>
        <v>男</v>
      </c>
    </row>
    <row r="150" spans="1:5" ht="30" customHeight="1">
      <c r="A150" s="4">
        <v>148</v>
      </c>
      <c r="B150" s="4" t="str">
        <f>"39712022060522255390857"</f>
        <v>39712022060522255390857</v>
      </c>
      <c r="C150" s="4" t="s">
        <v>6</v>
      </c>
      <c r="D150" s="4" t="str">
        <f>"蔡兴国"</f>
        <v>蔡兴国</v>
      </c>
      <c r="E150" s="4" t="str">
        <f t="shared" si="8"/>
        <v>男</v>
      </c>
    </row>
    <row r="151" spans="1:5" ht="30" customHeight="1">
      <c r="A151" s="4">
        <v>149</v>
      </c>
      <c r="B151" s="4" t="str">
        <f>"39712022060615094497633"</f>
        <v>39712022060615094497633</v>
      </c>
      <c r="C151" s="4" t="s">
        <v>6</v>
      </c>
      <c r="D151" s="4" t="str">
        <f>"陈焕超"</f>
        <v>陈焕超</v>
      </c>
      <c r="E151" s="4" t="str">
        <f t="shared" si="8"/>
        <v>男</v>
      </c>
    </row>
    <row r="152" spans="1:5" ht="30" customHeight="1">
      <c r="A152" s="4">
        <v>150</v>
      </c>
      <c r="B152" s="4" t="str">
        <f>"39712022060615440998087"</f>
        <v>39712022060615440998087</v>
      </c>
      <c r="C152" s="4" t="s">
        <v>6</v>
      </c>
      <c r="D152" s="4" t="str">
        <f>"李昌键"</f>
        <v>李昌键</v>
      </c>
      <c r="E152" s="4" t="str">
        <f t="shared" si="8"/>
        <v>男</v>
      </c>
    </row>
    <row r="153" spans="1:5" ht="30" customHeight="1">
      <c r="A153" s="4">
        <v>151</v>
      </c>
      <c r="B153" s="4" t="str">
        <f>"397120220606210919101228"</f>
        <v>397120220606210919101228</v>
      </c>
      <c r="C153" s="4" t="s">
        <v>6</v>
      </c>
      <c r="D153" s="4" t="str">
        <f>"邓雲灿"</f>
        <v>邓雲灿</v>
      </c>
      <c r="E153" s="4" t="str">
        <f t="shared" si="8"/>
        <v>男</v>
      </c>
    </row>
    <row r="154" spans="1:5" ht="30" customHeight="1">
      <c r="A154" s="4">
        <v>152</v>
      </c>
      <c r="B154" s="4" t="str">
        <f>"397120220608111759112370"</f>
        <v>397120220608111759112370</v>
      </c>
      <c r="C154" s="4" t="s">
        <v>6</v>
      </c>
      <c r="D154" s="4" t="str">
        <f>"邓艳玲"</f>
        <v>邓艳玲</v>
      </c>
      <c r="E154" s="4" t="str">
        <f>"女"</f>
        <v>女</v>
      </c>
    </row>
    <row r="155" spans="1:5" ht="30" customHeight="1">
      <c r="A155" s="4">
        <v>153</v>
      </c>
      <c r="B155" s="4" t="str">
        <f>"39712022060110240178903"</f>
        <v>39712022060110240178903</v>
      </c>
      <c r="C155" s="4" t="s">
        <v>7</v>
      </c>
      <c r="D155" s="4" t="str">
        <f>"李君"</f>
        <v>李君</v>
      </c>
      <c r="E155" s="4" t="str">
        <f>"女"</f>
        <v>女</v>
      </c>
    </row>
    <row r="156" spans="1:5" ht="30" customHeight="1">
      <c r="A156" s="4">
        <v>154</v>
      </c>
      <c r="B156" s="4" t="str">
        <f>"39712022060113160679996"</f>
        <v>39712022060113160679996</v>
      </c>
      <c r="C156" s="4" t="s">
        <v>7</v>
      </c>
      <c r="D156" s="4" t="str">
        <f>"洪欣欣"</f>
        <v>洪欣欣</v>
      </c>
      <c r="E156" s="4" t="str">
        <f>"女"</f>
        <v>女</v>
      </c>
    </row>
    <row r="157" spans="1:5" ht="30" customHeight="1">
      <c r="A157" s="4">
        <v>155</v>
      </c>
      <c r="B157" s="4" t="str">
        <f>"39712022060114001580170"</f>
        <v>39712022060114001580170</v>
      </c>
      <c r="C157" s="4" t="s">
        <v>7</v>
      </c>
      <c r="D157" s="4" t="str">
        <f>"符传代"</f>
        <v>符传代</v>
      </c>
      <c r="E157" s="4" t="str">
        <f>"男"</f>
        <v>男</v>
      </c>
    </row>
    <row r="158" spans="1:5" ht="30" customHeight="1">
      <c r="A158" s="4">
        <v>156</v>
      </c>
      <c r="B158" s="4" t="str">
        <f>"39712022060119155781769"</f>
        <v>39712022060119155781769</v>
      </c>
      <c r="C158" s="4" t="s">
        <v>7</v>
      </c>
      <c r="D158" s="4" t="str">
        <f>"王培颖"</f>
        <v>王培颖</v>
      </c>
      <c r="E158" s="4" t="str">
        <f aca="true" t="shared" si="9" ref="E158:E186">"女"</f>
        <v>女</v>
      </c>
    </row>
    <row r="159" spans="1:5" ht="30" customHeight="1">
      <c r="A159" s="4">
        <v>157</v>
      </c>
      <c r="B159" s="4" t="str">
        <f>"39712022060119213181790"</f>
        <v>39712022060119213181790</v>
      </c>
      <c r="C159" s="4" t="s">
        <v>7</v>
      </c>
      <c r="D159" s="4" t="str">
        <f>"胡靖靖"</f>
        <v>胡靖靖</v>
      </c>
      <c r="E159" s="4" t="str">
        <f t="shared" si="9"/>
        <v>女</v>
      </c>
    </row>
    <row r="160" spans="1:5" ht="30" customHeight="1">
      <c r="A160" s="4">
        <v>158</v>
      </c>
      <c r="B160" s="4" t="str">
        <f>"39712022060120564382209"</f>
        <v>39712022060120564382209</v>
      </c>
      <c r="C160" s="4" t="s">
        <v>7</v>
      </c>
      <c r="D160" s="4" t="str">
        <f>"陈日花"</f>
        <v>陈日花</v>
      </c>
      <c r="E160" s="4" t="str">
        <f t="shared" si="9"/>
        <v>女</v>
      </c>
    </row>
    <row r="161" spans="1:5" ht="30" customHeight="1">
      <c r="A161" s="4">
        <v>159</v>
      </c>
      <c r="B161" s="4" t="str">
        <f>"39712022060210402084257"</f>
        <v>39712022060210402084257</v>
      </c>
      <c r="C161" s="4" t="s">
        <v>7</v>
      </c>
      <c r="D161" s="4" t="str">
        <f>"陈凡"</f>
        <v>陈凡</v>
      </c>
      <c r="E161" s="4" t="str">
        <f t="shared" si="9"/>
        <v>女</v>
      </c>
    </row>
    <row r="162" spans="1:5" ht="30" customHeight="1">
      <c r="A162" s="4">
        <v>160</v>
      </c>
      <c r="B162" s="4" t="str">
        <f>"39712022060211043884433"</f>
        <v>39712022060211043884433</v>
      </c>
      <c r="C162" s="4" t="s">
        <v>7</v>
      </c>
      <c r="D162" s="4" t="str">
        <f>"袁晓晓"</f>
        <v>袁晓晓</v>
      </c>
      <c r="E162" s="4" t="str">
        <f t="shared" si="9"/>
        <v>女</v>
      </c>
    </row>
    <row r="163" spans="1:5" ht="30" customHeight="1">
      <c r="A163" s="4">
        <v>161</v>
      </c>
      <c r="B163" s="4" t="str">
        <f>"39712022060222134387343"</f>
        <v>39712022060222134387343</v>
      </c>
      <c r="C163" s="4" t="s">
        <v>7</v>
      </c>
      <c r="D163" s="4" t="str">
        <f>"陈绪桃"</f>
        <v>陈绪桃</v>
      </c>
      <c r="E163" s="4" t="str">
        <f t="shared" si="9"/>
        <v>女</v>
      </c>
    </row>
    <row r="164" spans="1:5" ht="30" customHeight="1">
      <c r="A164" s="4">
        <v>162</v>
      </c>
      <c r="B164" s="4" t="str">
        <f>"39712022060322275188471"</f>
        <v>39712022060322275188471</v>
      </c>
      <c r="C164" s="4" t="s">
        <v>7</v>
      </c>
      <c r="D164" s="4" t="str">
        <f>"樊一萌"</f>
        <v>樊一萌</v>
      </c>
      <c r="E164" s="4" t="str">
        <f t="shared" si="9"/>
        <v>女</v>
      </c>
    </row>
    <row r="165" spans="1:5" ht="30" customHeight="1">
      <c r="A165" s="4">
        <v>163</v>
      </c>
      <c r="B165" s="4" t="str">
        <f>"39712022060420470289342"</f>
        <v>39712022060420470289342</v>
      </c>
      <c r="C165" s="4" t="s">
        <v>7</v>
      </c>
      <c r="D165" s="4" t="str">
        <f>"郑婷尹"</f>
        <v>郑婷尹</v>
      </c>
      <c r="E165" s="4" t="str">
        <f t="shared" si="9"/>
        <v>女</v>
      </c>
    </row>
    <row r="166" spans="1:5" ht="30" customHeight="1">
      <c r="A166" s="4">
        <v>164</v>
      </c>
      <c r="B166" s="4" t="str">
        <f>"39712022060518135590435"</f>
        <v>39712022060518135590435</v>
      </c>
      <c r="C166" s="4" t="s">
        <v>7</v>
      </c>
      <c r="D166" s="4" t="str">
        <f>"张毓"</f>
        <v>张毓</v>
      </c>
      <c r="E166" s="4" t="str">
        <f t="shared" si="9"/>
        <v>女</v>
      </c>
    </row>
    <row r="167" spans="1:5" ht="30" customHeight="1">
      <c r="A167" s="4">
        <v>165</v>
      </c>
      <c r="B167" s="4" t="str">
        <f>"39712022060607474991049"</f>
        <v>39712022060607474991049</v>
      </c>
      <c r="C167" s="4" t="s">
        <v>7</v>
      </c>
      <c r="D167" s="4" t="str">
        <f>"昝涛"</f>
        <v>昝涛</v>
      </c>
      <c r="E167" s="4" t="str">
        <f t="shared" si="9"/>
        <v>女</v>
      </c>
    </row>
    <row r="168" spans="1:5" ht="30" customHeight="1">
      <c r="A168" s="4">
        <v>166</v>
      </c>
      <c r="B168" s="4" t="str">
        <f>"39712022060612004395649"</f>
        <v>39712022060612004395649</v>
      </c>
      <c r="C168" s="4" t="s">
        <v>7</v>
      </c>
      <c r="D168" s="4" t="str">
        <f>"胥玥"</f>
        <v>胥玥</v>
      </c>
      <c r="E168" s="4" t="str">
        <f t="shared" si="9"/>
        <v>女</v>
      </c>
    </row>
    <row r="169" spans="1:5" ht="30" customHeight="1">
      <c r="A169" s="4">
        <v>167</v>
      </c>
      <c r="B169" s="4" t="str">
        <f>"39712022060617581999654"</f>
        <v>39712022060617581999654</v>
      </c>
      <c r="C169" s="4" t="s">
        <v>7</v>
      </c>
      <c r="D169" s="4" t="str">
        <f>"郝书玉"</f>
        <v>郝书玉</v>
      </c>
      <c r="E169" s="4" t="str">
        <f t="shared" si="9"/>
        <v>女</v>
      </c>
    </row>
    <row r="170" spans="1:5" ht="30" customHeight="1">
      <c r="A170" s="4">
        <v>168</v>
      </c>
      <c r="B170" s="4" t="str">
        <f>"397120220606184459100050"</f>
        <v>397120220606184459100050</v>
      </c>
      <c r="C170" s="4" t="s">
        <v>7</v>
      </c>
      <c r="D170" s="4" t="str">
        <f>"刘荣幸"</f>
        <v>刘荣幸</v>
      </c>
      <c r="E170" s="4" t="str">
        <f t="shared" si="9"/>
        <v>女</v>
      </c>
    </row>
    <row r="171" spans="1:5" ht="30" customHeight="1">
      <c r="A171" s="4">
        <v>169</v>
      </c>
      <c r="B171" s="4" t="str">
        <f>"397120220606223716101994"</f>
        <v>397120220606223716101994</v>
      </c>
      <c r="C171" s="4" t="s">
        <v>7</v>
      </c>
      <c r="D171" s="4" t="str">
        <f>"许薇薇"</f>
        <v>许薇薇</v>
      </c>
      <c r="E171" s="4" t="str">
        <f t="shared" si="9"/>
        <v>女</v>
      </c>
    </row>
    <row r="172" spans="1:5" ht="30" customHeight="1">
      <c r="A172" s="4">
        <v>170</v>
      </c>
      <c r="B172" s="4" t="str">
        <f>"397120220607142142106423"</f>
        <v>397120220607142142106423</v>
      </c>
      <c r="C172" s="4" t="s">
        <v>7</v>
      </c>
      <c r="D172" s="4" t="str">
        <f>"戴文静"</f>
        <v>戴文静</v>
      </c>
      <c r="E172" s="4" t="str">
        <f t="shared" si="9"/>
        <v>女</v>
      </c>
    </row>
    <row r="173" spans="1:5" ht="30" customHeight="1">
      <c r="A173" s="4">
        <v>171</v>
      </c>
      <c r="B173" s="4" t="str">
        <f>"397120220607152031106959"</f>
        <v>397120220607152031106959</v>
      </c>
      <c r="C173" s="4" t="s">
        <v>7</v>
      </c>
      <c r="D173" s="4" t="str">
        <f>"李嘉欣"</f>
        <v>李嘉欣</v>
      </c>
      <c r="E173" s="4" t="str">
        <f t="shared" si="9"/>
        <v>女</v>
      </c>
    </row>
    <row r="174" spans="1:5" ht="30" customHeight="1">
      <c r="A174" s="4">
        <v>172</v>
      </c>
      <c r="B174" s="4" t="str">
        <f>"397120220607162259107651"</f>
        <v>397120220607162259107651</v>
      </c>
      <c r="C174" s="4" t="s">
        <v>7</v>
      </c>
      <c r="D174" s="4" t="str">
        <f>"吴晓涵"</f>
        <v>吴晓涵</v>
      </c>
      <c r="E174" s="4" t="str">
        <f t="shared" si="9"/>
        <v>女</v>
      </c>
    </row>
    <row r="175" spans="1:5" ht="30" customHeight="1">
      <c r="A175" s="4">
        <v>173</v>
      </c>
      <c r="B175" s="4" t="str">
        <f>"397120220607224106110324"</f>
        <v>397120220607224106110324</v>
      </c>
      <c r="C175" s="4" t="s">
        <v>7</v>
      </c>
      <c r="D175" s="4" t="str">
        <f>"赵清月"</f>
        <v>赵清月</v>
      </c>
      <c r="E175" s="4" t="str">
        <f t="shared" si="9"/>
        <v>女</v>
      </c>
    </row>
    <row r="176" spans="1:5" ht="30" customHeight="1">
      <c r="A176" s="4">
        <v>174</v>
      </c>
      <c r="B176" s="4" t="str">
        <f>"39712022060109095878267"</f>
        <v>39712022060109095878267</v>
      </c>
      <c r="C176" s="4" t="s">
        <v>8</v>
      </c>
      <c r="D176" s="4" t="str">
        <f>"牛晨"</f>
        <v>牛晨</v>
      </c>
      <c r="E176" s="4" t="str">
        <f t="shared" si="9"/>
        <v>女</v>
      </c>
    </row>
    <row r="177" spans="1:5" ht="30" customHeight="1">
      <c r="A177" s="4">
        <v>175</v>
      </c>
      <c r="B177" s="4" t="str">
        <f>"39712022060109211678373"</f>
        <v>39712022060109211678373</v>
      </c>
      <c r="C177" s="4" t="s">
        <v>8</v>
      </c>
      <c r="D177" s="4" t="str">
        <f>"蔡孙妹"</f>
        <v>蔡孙妹</v>
      </c>
      <c r="E177" s="4" t="str">
        <f t="shared" si="9"/>
        <v>女</v>
      </c>
    </row>
    <row r="178" spans="1:5" ht="30" customHeight="1">
      <c r="A178" s="4">
        <v>176</v>
      </c>
      <c r="B178" s="4" t="str">
        <f>"39712022060109481578610"</f>
        <v>39712022060109481578610</v>
      </c>
      <c r="C178" s="4" t="s">
        <v>8</v>
      </c>
      <c r="D178" s="4" t="str">
        <f>"陈丽雅"</f>
        <v>陈丽雅</v>
      </c>
      <c r="E178" s="4" t="str">
        <f t="shared" si="9"/>
        <v>女</v>
      </c>
    </row>
    <row r="179" spans="1:5" ht="30" customHeight="1">
      <c r="A179" s="4">
        <v>177</v>
      </c>
      <c r="B179" s="4" t="str">
        <f>"39712022060109550378667"</f>
        <v>39712022060109550378667</v>
      </c>
      <c r="C179" s="4" t="s">
        <v>8</v>
      </c>
      <c r="D179" s="4" t="str">
        <f>"王晓晗"</f>
        <v>王晓晗</v>
      </c>
      <c r="E179" s="4" t="str">
        <f t="shared" si="9"/>
        <v>女</v>
      </c>
    </row>
    <row r="180" spans="1:5" ht="30" customHeight="1">
      <c r="A180" s="4">
        <v>178</v>
      </c>
      <c r="B180" s="4" t="str">
        <f>"39712022060109594578711"</f>
        <v>39712022060109594578711</v>
      </c>
      <c r="C180" s="4" t="s">
        <v>8</v>
      </c>
      <c r="D180" s="4" t="str">
        <f>"钟金贝"</f>
        <v>钟金贝</v>
      </c>
      <c r="E180" s="4" t="str">
        <f t="shared" si="9"/>
        <v>女</v>
      </c>
    </row>
    <row r="181" spans="1:5" ht="30" customHeight="1">
      <c r="A181" s="4">
        <v>179</v>
      </c>
      <c r="B181" s="4" t="str">
        <f>"39712022060110185478862"</f>
        <v>39712022060110185478862</v>
      </c>
      <c r="C181" s="4" t="s">
        <v>8</v>
      </c>
      <c r="D181" s="4" t="str">
        <f>"孙雨"</f>
        <v>孙雨</v>
      </c>
      <c r="E181" s="4" t="str">
        <f t="shared" si="9"/>
        <v>女</v>
      </c>
    </row>
    <row r="182" spans="1:5" ht="30" customHeight="1">
      <c r="A182" s="4">
        <v>180</v>
      </c>
      <c r="B182" s="4" t="str">
        <f>"39712022060110231278892"</f>
        <v>39712022060110231278892</v>
      </c>
      <c r="C182" s="4" t="s">
        <v>8</v>
      </c>
      <c r="D182" s="4" t="str">
        <f>"简廷琴"</f>
        <v>简廷琴</v>
      </c>
      <c r="E182" s="4" t="str">
        <f t="shared" si="9"/>
        <v>女</v>
      </c>
    </row>
    <row r="183" spans="1:5" ht="30" customHeight="1">
      <c r="A183" s="4">
        <v>181</v>
      </c>
      <c r="B183" s="4" t="str">
        <f>"39712022060110244478909"</f>
        <v>39712022060110244478909</v>
      </c>
      <c r="C183" s="4" t="s">
        <v>8</v>
      </c>
      <c r="D183" s="4" t="str">
        <f>"陈洪妍"</f>
        <v>陈洪妍</v>
      </c>
      <c r="E183" s="4" t="str">
        <f t="shared" si="9"/>
        <v>女</v>
      </c>
    </row>
    <row r="184" spans="1:5" ht="30" customHeight="1">
      <c r="A184" s="4">
        <v>182</v>
      </c>
      <c r="B184" s="4" t="str">
        <f>"39712022060110480879096"</f>
        <v>39712022060110480879096</v>
      </c>
      <c r="C184" s="4" t="s">
        <v>8</v>
      </c>
      <c r="D184" s="4" t="str">
        <f>"符美珍"</f>
        <v>符美珍</v>
      </c>
      <c r="E184" s="4" t="str">
        <f t="shared" si="9"/>
        <v>女</v>
      </c>
    </row>
    <row r="185" spans="1:5" ht="30" customHeight="1">
      <c r="A185" s="4">
        <v>183</v>
      </c>
      <c r="B185" s="4" t="str">
        <f>"39712022060110523279129"</f>
        <v>39712022060110523279129</v>
      </c>
      <c r="C185" s="4" t="s">
        <v>8</v>
      </c>
      <c r="D185" s="4" t="str">
        <f>"黄丽贤"</f>
        <v>黄丽贤</v>
      </c>
      <c r="E185" s="4" t="str">
        <f t="shared" si="9"/>
        <v>女</v>
      </c>
    </row>
    <row r="186" spans="1:5" ht="30" customHeight="1">
      <c r="A186" s="4">
        <v>184</v>
      </c>
      <c r="B186" s="4" t="str">
        <f>"39712022060110581779176"</f>
        <v>39712022060110581779176</v>
      </c>
      <c r="C186" s="4" t="s">
        <v>8</v>
      </c>
      <c r="D186" s="4" t="str">
        <f>"洪沁"</f>
        <v>洪沁</v>
      </c>
      <c r="E186" s="4" t="str">
        <f t="shared" si="9"/>
        <v>女</v>
      </c>
    </row>
    <row r="187" spans="1:5" ht="30" customHeight="1">
      <c r="A187" s="4">
        <v>185</v>
      </c>
      <c r="B187" s="4" t="str">
        <f>"39712022060111015879207"</f>
        <v>39712022060111015879207</v>
      </c>
      <c r="C187" s="4" t="s">
        <v>8</v>
      </c>
      <c r="D187" s="4" t="str">
        <f>"陈光月"</f>
        <v>陈光月</v>
      </c>
      <c r="E187" s="4" t="str">
        <f>"男"</f>
        <v>男</v>
      </c>
    </row>
    <row r="188" spans="1:5" ht="30" customHeight="1">
      <c r="A188" s="4">
        <v>186</v>
      </c>
      <c r="B188" s="4" t="str">
        <f>"39712022060111362979480"</f>
        <v>39712022060111362979480</v>
      </c>
      <c r="C188" s="4" t="s">
        <v>8</v>
      </c>
      <c r="D188" s="4" t="str">
        <f>"陈韵"</f>
        <v>陈韵</v>
      </c>
      <c r="E188" s="4" t="str">
        <f aca="true" t="shared" si="10" ref="E188:E193">"女"</f>
        <v>女</v>
      </c>
    </row>
    <row r="189" spans="1:5" ht="30" customHeight="1">
      <c r="A189" s="4">
        <v>187</v>
      </c>
      <c r="B189" s="4" t="str">
        <f>"39712022060112072779637"</f>
        <v>39712022060112072779637</v>
      </c>
      <c r="C189" s="4" t="s">
        <v>8</v>
      </c>
      <c r="D189" s="4" t="str">
        <f>"柯文诗"</f>
        <v>柯文诗</v>
      </c>
      <c r="E189" s="4" t="str">
        <f t="shared" si="10"/>
        <v>女</v>
      </c>
    </row>
    <row r="190" spans="1:5" ht="30" customHeight="1">
      <c r="A190" s="4">
        <v>188</v>
      </c>
      <c r="B190" s="4" t="str">
        <f>"39712022060112143179676"</f>
        <v>39712022060112143179676</v>
      </c>
      <c r="C190" s="4" t="s">
        <v>8</v>
      </c>
      <c r="D190" s="4" t="str">
        <f>"符艳"</f>
        <v>符艳</v>
      </c>
      <c r="E190" s="4" t="str">
        <f t="shared" si="10"/>
        <v>女</v>
      </c>
    </row>
    <row r="191" spans="1:5" ht="30" customHeight="1">
      <c r="A191" s="4">
        <v>189</v>
      </c>
      <c r="B191" s="4" t="str">
        <f>"39712022060113183080005"</f>
        <v>39712022060113183080005</v>
      </c>
      <c r="C191" s="4" t="s">
        <v>8</v>
      </c>
      <c r="D191" s="4" t="str">
        <f>"梁晶晶"</f>
        <v>梁晶晶</v>
      </c>
      <c r="E191" s="4" t="str">
        <f t="shared" si="10"/>
        <v>女</v>
      </c>
    </row>
    <row r="192" spans="1:5" ht="30" customHeight="1">
      <c r="A192" s="4">
        <v>190</v>
      </c>
      <c r="B192" s="4" t="str">
        <f>"39712022060114262480271"</f>
        <v>39712022060114262480271</v>
      </c>
      <c r="C192" s="4" t="s">
        <v>8</v>
      </c>
      <c r="D192" s="4" t="str">
        <f>"姜心怡"</f>
        <v>姜心怡</v>
      </c>
      <c r="E192" s="4" t="str">
        <f t="shared" si="10"/>
        <v>女</v>
      </c>
    </row>
    <row r="193" spans="1:5" ht="30" customHeight="1">
      <c r="A193" s="4">
        <v>191</v>
      </c>
      <c r="B193" s="4" t="str">
        <f>"39712022060116392781024"</f>
        <v>39712022060116392781024</v>
      </c>
      <c r="C193" s="4" t="s">
        <v>8</v>
      </c>
      <c r="D193" s="4" t="str">
        <f>"林才艺"</f>
        <v>林才艺</v>
      </c>
      <c r="E193" s="4" t="str">
        <f t="shared" si="10"/>
        <v>女</v>
      </c>
    </row>
    <row r="194" spans="1:5" ht="30" customHeight="1">
      <c r="A194" s="4">
        <v>192</v>
      </c>
      <c r="B194" s="4" t="str">
        <f>"39712022060117102181193"</f>
        <v>39712022060117102181193</v>
      </c>
      <c r="C194" s="4" t="s">
        <v>8</v>
      </c>
      <c r="D194" s="4" t="str">
        <f>"吴多茂"</f>
        <v>吴多茂</v>
      </c>
      <c r="E194" s="4" t="str">
        <f>"男"</f>
        <v>男</v>
      </c>
    </row>
    <row r="195" spans="1:5" ht="30" customHeight="1">
      <c r="A195" s="4">
        <v>193</v>
      </c>
      <c r="B195" s="4" t="str">
        <f>"39712022060117140881214"</f>
        <v>39712022060117140881214</v>
      </c>
      <c r="C195" s="4" t="s">
        <v>8</v>
      </c>
      <c r="D195" s="4" t="str">
        <f>"周文婷"</f>
        <v>周文婷</v>
      </c>
      <c r="E195" s="4" t="str">
        <f>"女"</f>
        <v>女</v>
      </c>
    </row>
    <row r="196" spans="1:5" ht="30" customHeight="1">
      <c r="A196" s="4">
        <v>194</v>
      </c>
      <c r="B196" s="4" t="str">
        <f>"39712022060117432581373"</f>
        <v>39712022060117432581373</v>
      </c>
      <c r="C196" s="4" t="s">
        <v>8</v>
      </c>
      <c r="D196" s="4" t="str">
        <f>"罗崇泽"</f>
        <v>罗崇泽</v>
      </c>
      <c r="E196" s="4" t="str">
        <f>"女"</f>
        <v>女</v>
      </c>
    </row>
    <row r="197" spans="1:5" ht="30" customHeight="1">
      <c r="A197" s="4">
        <v>195</v>
      </c>
      <c r="B197" s="4" t="str">
        <f>"39712022060118530681672"</f>
        <v>39712022060118530681672</v>
      </c>
      <c r="C197" s="4" t="s">
        <v>8</v>
      </c>
      <c r="D197" s="4" t="str">
        <f>"王美桦"</f>
        <v>王美桦</v>
      </c>
      <c r="E197" s="4" t="str">
        <f>"女"</f>
        <v>女</v>
      </c>
    </row>
    <row r="198" spans="1:5" ht="30" customHeight="1">
      <c r="A198" s="4">
        <v>196</v>
      </c>
      <c r="B198" s="4" t="str">
        <f>"39712022060118584981700"</f>
        <v>39712022060118584981700</v>
      </c>
      <c r="C198" s="4" t="s">
        <v>8</v>
      </c>
      <c r="D198" s="4" t="str">
        <f>"刘婉欣"</f>
        <v>刘婉欣</v>
      </c>
      <c r="E198" s="4" t="str">
        <f>"女"</f>
        <v>女</v>
      </c>
    </row>
    <row r="199" spans="1:5" ht="30" customHeight="1">
      <c r="A199" s="4">
        <v>197</v>
      </c>
      <c r="B199" s="4" t="str">
        <f>"39712022060119393581862"</f>
        <v>39712022060119393581862</v>
      </c>
      <c r="C199" s="4" t="s">
        <v>8</v>
      </c>
      <c r="D199" s="4" t="str">
        <f>"石璟瑀"</f>
        <v>石璟瑀</v>
      </c>
      <c r="E199" s="4" t="str">
        <f>"女"</f>
        <v>女</v>
      </c>
    </row>
    <row r="200" spans="1:5" ht="30" customHeight="1">
      <c r="A200" s="4">
        <v>198</v>
      </c>
      <c r="B200" s="4" t="str">
        <f>"39712022060119445081881"</f>
        <v>39712022060119445081881</v>
      </c>
      <c r="C200" s="4" t="s">
        <v>8</v>
      </c>
      <c r="D200" s="4" t="str">
        <f>"黄炎森"</f>
        <v>黄炎森</v>
      </c>
      <c r="E200" s="4" t="str">
        <f>"男"</f>
        <v>男</v>
      </c>
    </row>
    <row r="201" spans="1:5" ht="30" customHeight="1">
      <c r="A201" s="4">
        <v>199</v>
      </c>
      <c r="B201" s="4" t="str">
        <f>"39712022060120072081980"</f>
        <v>39712022060120072081980</v>
      </c>
      <c r="C201" s="4" t="s">
        <v>8</v>
      </c>
      <c r="D201" s="4" t="str">
        <f>"陈也"</f>
        <v>陈也</v>
      </c>
      <c r="E201" s="4" t="str">
        <f aca="true" t="shared" si="11" ref="E201:E226">"女"</f>
        <v>女</v>
      </c>
    </row>
    <row r="202" spans="1:5" ht="30" customHeight="1">
      <c r="A202" s="4">
        <v>200</v>
      </c>
      <c r="B202" s="4" t="str">
        <f>"39712022060120080881983"</f>
        <v>39712022060120080881983</v>
      </c>
      <c r="C202" s="4" t="s">
        <v>8</v>
      </c>
      <c r="D202" s="4" t="str">
        <f>"苏秋雨"</f>
        <v>苏秋雨</v>
      </c>
      <c r="E202" s="4" t="str">
        <f t="shared" si="11"/>
        <v>女</v>
      </c>
    </row>
    <row r="203" spans="1:5" ht="30" customHeight="1">
      <c r="A203" s="4">
        <v>201</v>
      </c>
      <c r="B203" s="4" t="str">
        <f>"39712022060120434882145"</f>
        <v>39712022060120434882145</v>
      </c>
      <c r="C203" s="4" t="s">
        <v>8</v>
      </c>
      <c r="D203" s="4" t="str">
        <f>"陈金枝"</f>
        <v>陈金枝</v>
      </c>
      <c r="E203" s="4" t="str">
        <f t="shared" si="11"/>
        <v>女</v>
      </c>
    </row>
    <row r="204" spans="1:5" ht="30" customHeight="1">
      <c r="A204" s="4">
        <v>202</v>
      </c>
      <c r="B204" s="4" t="str">
        <f>"39712022060120451482156"</f>
        <v>39712022060120451482156</v>
      </c>
      <c r="C204" s="4" t="s">
        <v>8</v>
      </c>
      <c r="D204" s="4" t="str">
        <f>"周樱颖"</f>
        <v>周樱颖</v>
      </c>
      <c r="E204" s="4" t="str">
        <f t="shared" si="11"/>
        <v>女</v>
      </c>
    </row>
    <row r="205" spans="1:5" ht="30" customHeight="1">
      <c r="A205" s="4">
        <v>203</v>
      </c>
      <c r="B205" s="4" t="str">
        <f>"39712022060121474382487"</f>
        <v>39712022060121474382487</v>
      </c>
      <c r="C205" s="4" t="s">
        <v>8</v>
      </c>
      <c r="D205" s="4" t="str">
        <f>"文怡"</f>
        <v>文怡</v>
      </c>
      <c r="E205" s="4" t="str">
        <f t="shared" si="11"/>
        <v>女</v>
      </c>
    </row>
    <row r="206" spans="1:5" ht="30" customHeight="1">
      <c r="A206" s="4">
        <v>204</v>
      </c>
      <c r="B206" s="4" t="str">
        <f>"39712022060123214482948"</f>
        <v>39712022060123214482948</v>
      </c>
      <c r="C206" s="4" t="s">
        <v>8</v>
      </c>
      <c r="D206" s="4" t="str">
        <f>"文雪"</f>
        <v>文雪</v>
      </c>
      <c r="E206" s="4" t="str">
        <f t="shared" si="11"/>
        <v>女</v>
      </c>
    </row>
    <row r="207" spans="1:5" ht="30" customHeight="1">
      <c r="A207" s="4">
        <v>205</v>
      </c>
      <c r="B207" s="4" t="str">
        <f>"39712022060202011883132"</f>
        <v>39712022060202011883132</v>
      </c>
      <c r="C207" s="4" t="s">
        <v>8</v>
      </c>
      <c r="D207" s="4" t="str">
        <f>"陈晓萍"</f>
        <v>陈晓萍</v>
      </c>
      <c r="E207" s="4" t="str">
        <f t="shared" si="11"/>
        <v>女</v>
      </c>
    </row>
    <row r="208" spans="1:5" ht="30" customHeight="1">
      <c r="A208" s="4">
        <v>206</v>
      </c>
      <c r="B208" s="4" t="str">
        <f>"39712022060209373083784"</f>
        <v>39712022060209373083784</v>
      </c>
      <c r="C208" s="4" t="s">
        <v>8</v>
      </c>
      <c r="D208" s="4" t="str">
        <f>"陈妍柳"</f>
        <v>陈妍柳</v>
      </c>
      <c r="E208" s="4" t="str">
        <f t="shared" si="11"/>
        <v>女</v>
      </c>
    </row>
    <row r="209" spans="1:5" ht="30" customHeight="1">
      <c r="A209" s="4">
        <v>207</v>
      </c>
      <c r="B209" s="4" t="str">
        <f>"39712022060210144484052"</f>
        <v>39712022060210144484052</v>
      </c>
      <c r="C209" s="4" t="s">
        <v>8</v>
      </c>
      <c r="D209" s="4" t="str">
        <f>"林慧焜"</f>
        <v>林慧焜</v>
      </c>
      <c r="E209" s="4" t="str">
        <f t="shared" si="11"/>
        <v>女</v>
      </c>
    </row>
    <row r="210" spans="1:5" ht="30" customHeight="1">
      <c r="A210" s="4">
        <v>208</v>
      </c>
      <c r="B210" s="4" t="str">
        <f>"39712022060210391484247"</f>
        <v>39712022060210391484247</v>
      </c>
      <c r="C210" s="4" t="s">
        <v>8</v>
      </c>
      <c r="D210" s="4" t="str">
        <f>"谢湘雨"</f>
        <v>谢湘雨</v>
      </c>
      <c r="E210" s="4" t="str">
        <f t="shared" si="11"/>
        <v>女</v>
      </c>
    </row>
    <row r="211" spans="1:5" ht="30" customHeight="1">
      <c r="A211" s="4">
        <v>209</v>
      </c>
      <c r="B211" s="4" t="str">
        <f>"39712022060211200984551"</f>
        <v>39712022060211200984551</v>
      </c>
      <c r="C211" s="4" t="s">
        <v>8</v>
      </c>
      <c r="D211" s="4" t="str">
        <f>"陈柳红"</f>
        <v>陈柳红</v>
      </c>
      <c r="E211" s="4" t="str">
        <f t="shared" si="11"/>
        <v>女</v>
      </c>
    </row>
    <row r="212" spans="1:5" ht="30" customHeight="1">
      <c r="A212" s="4">
        <v>210</v>
      </c>
      <c r="B212" s="4" t="str">
        <f>"39712022060212531685082"</f>
        <v>39712022060212531685082</v>
      </c>
      <c r="C212" s="4" t="s">
        <v>8</v>
      </c>
      <c r="D212" s="4" t="str">
        <f>"陈玮玮"</f>
        <v>陈玮玮</v>
      </c>
      <c r="E212" s="4" t="str">
        <f t="shared" si="11"/>
        <v>女</v>
      </c>
    </row>
    <row r="213" spans="1:5" ht="30" customHeight="1">
      <c r="A213" s="4">
        <v>211</v>
      </c>
      <c r="B213" s="4" t="str">
        <f>"39712022060215160385749"</f>
        <v>39712022060215160385749</v>
      </c>
      <c r="C213" s="4" t="s">
        <v>8</v>
      </c>
      <c r="D213" s="4" t="str">
        <f>"黄珊滢"</f>
        <v>黄珊滢</v>
      </c>
      <c r="E213" s="4" t="str">
        <f t="shared" si="11"/>
        <v>女</v>
      </c>
    </row>
    <row r="214" spans="1:5" ht="30" customHeight="1">
      <c r="A214" s="4">
        <v>212</v>
      </c>
      <c r="B214" s="4" t="str">
        <f>"39712022060215391185891"</f>
        <v>39712022060215391185891</v>
      </c>
      <c r="C214" s="4" t="s">
        <v>8</v>
      </c>
      <c r="D214" s="4" t="str">
        <f>"童瑶"</f>
        <v>童瑶</v>
      </c>
      <c r="E214" s="4" t="str">
        <f t="shared" si="11"/>
        <v>女</v>
      </c>
    </row>
    <row r="215" spans="1:5" ht="30" customHeight="1">
      <c r="A215" s="4">
        <v>213</v>
      </c>
      <c r="B215" s="4" t="str">
        <f>"39712022060218130086625"</f>
        <v>39712022060218130086625</v>
      </c>
      <c r="C215" s="4" t="s">
        <v>8</v>
      </c>
      <c r="D215" s="4" t="str">
        <f>"詹嘉慧"</f>
        <v>詹嘉慧</v>
      </c>
      <c r="E215" s="4" t="str">
        <f t="shared" si="11"/>
        <v>女</v>
      </c>
    </row>
    <row r="216" spans="1:5" ht="30" customHeight="1">
      <c r="A216" s="4">
        <v>214</v>
      </c>
      <c r="B216" s="4" t="str">
        <f>"39712022060219303686846"</f>
        <v>39712022060219303686846</v>
      </c>
      <c r="C216" s="4" t="s">
        <v>8</v>
      </c>
      <c r="D216" s="4" t="str">
        <f>"黄紫"</f>
        <v>黄紫</v>
      </c>
      <c r="E216" s="4" t="str">
        <f t="shared" si="11"/>
        <v>女</v>
      </c>
    </row>
    <row r="217" spans="1:5" ht="30" customHeight="1">
      <c r="A217" s="4">
        <v>215</v>
      </c>
      <c r="B217" s="4" t="str">
        <f>"39712022060220431887044"</f>
        <v>39712022060220431887044</v>
      </c>
      <c r="C217" s="4" t="s">
        <v>8</v>
      </c>
      <c r="D217" s="4" t="str">
        <f>"邱婷"</f>
        <v>邱婷</v>
      </c>
      <c r="E217" s="4" t="str">
        <f t="shared" si="11"/>
        <v>女</v>
      </c>
    </row>
    <row r="218" spans="1:5" ht="30" customHeight="1">
      <c r="A218" s="4">
        <v>216</v>
      </c>
      <c r="B218" s="4" t="str">
        <f>"39712022060221313687217"</f>
        <v>39712022060221313687217</v>
      </c>
      <c r="C218" s="4" t="s">
        <v>8</v>
      </c>
      <c r="D218" s="4" t="str">
        <f>"李娇萍"</f>
        <v>李娇萍</v>
      </c>
      <c r="E218" s="4" t="str">
        <f t="shared" si="11"/>
        <v>女</v>
      </c>
    </row>
    <row r="219" spans="1:5" ht="30" customHeight="1">
      <c r="A219" s="4">
        <v>217</v>
      </c>
      <c r="B219" s="4" t="str">
        <f>"39712022060222280087394"</f>
        <v>39712022060222280087394</v>
      </c>
      <c r="C219" s="4" t="s">
        <v>8</v>
      </c>
      <c r="D219" s="4" t="str">
        <f>"黄雪绮"</f>
        <v>黄雪绮</v>
      </c>
      <c r="E219" s="4" t="str">
        <f t="shared" si="11"/>
        <v>女</v>
      </c>
    </row>
    <row r="220" spans="1:5" ht="30" customHeight="1">
      <c r="A220" s="4">
        <v>218</v>
      </c>
      <c r="B220" s="4" t="str">
        <f>"39712022060300290787587"</f>
        <v>39712022060300290787587</v>
      </c>
      <c r="C220" s="4" t="s">
        <v>8</v>
      </c>
      <c r="D220" s="4" t="str">
        <f>"王光妹"</f>
        <v>王光妹</v>
      </c>
      <c r="E220" s="4" t="str">
        <f t="shared" si="11"/>
        <v>女</v>
      </c>
    </row>
    <row r="221" spans="1:5" ht="30" customHeight="1">
      <c r="A221" s="4">
        <v>219</v>
      </c>
      <c r="B221" s="4" t="str">
        <f>"39712022060313181487961"</f>
        <v>39712022060313181487961</v>
      </c>
      <c r="C221" s="4" t="s">
        <v>8</v>
      </c>
      <c r="D221" s="4" t="str">
        <f>"方愉茜"</f>
        <v>方愉茜</v>
      </c>
      <c r="E221" s="4" t="str">
        <f t="shared" si="11"/>
        <v>女</v>
      </c>
    </row>
    <row r="222" spans="1:5" ht="30" customHeight="1">
      <c r="A222" s="4">
        <v>220</v>
      </c>
      <c r="B222" s="4" t="str">
        <f>"39712022060316164688117"</f>
        <v>39712022060316164688117</v>
      </c>
      <c r="C222" s="4" t="s">
        <v>8</v>
      </c>
      <c r="D222" s="4" t="str">
        <f>"吉丹丹"</f>
        <v>吉丹丹</v>
      </c>
      <c r="E222" s="4" t="str">
        <f t="shared" si="11"/>
        <v>女</v>
      </c>
    </row>
    <row r="223" spans="1:5" ht="30" customHeight="1">
      <c r="A223" s="4">
        <v>221</v>
      </c>
      <c r="B223" s="4" t="str">
        <f>"39712022060317395888191"</f>
        <v>39712022060317395888191</v>
      </c>
      <c r="C223" s="4" t="s">
        <v>8</v>
      </c>
      <c r="D223" s="4" t="str">
        <f>"朱妹"</f>
        <v>朱妹</v>
      </c>
      <c r="E223" s="4" t="str">
        <f t="shared" si="11"/>
        <v>女</v>
      </c>
    </row>
    <row r="224" spans="1:5" ht="30" customHeight="1">
      <c r="A224" s="4">
        <v>222</v>
      </c>
      <c r="B224" s="4" t="str">
        <f>"39712022060321455588425"</f>
        <v>39712022060321455588425</v>
      </c>
      <c r="C224" s="4" t="s">
        <v>8</v>
      </c>
      <c r="D224" s="4" t="str">
        <f>"吴小怡"</f>
        <v>吴小怡</v>
      </c>
      <c r="E224" s="4" t="str">
        <f t="shared" si="11"/>
        <v>女</v>
      </c>
    </row>
    <row r="225" spans="1:5" ht="30" customHeight="1">
      <c r="A225" s="4">
        <v>223</v>
      </c>
      <c r="B225" s="4" t="str">
        <f>"39712022060400550988565"</f>
        <v>39712022060400550988565</v>
      </c>
      <c r="C225" s="4" t="s">
        <v>8</v>
      </c>
      <c r="D225" s="4" t="str">
        <f>"蔡景霞"</f>
        <v>蔡景霞</v>
      </c>
      <c r="E225" s="4" t="str">
        <f t="shared" si="11"/>
        <v>女</v>
      </c>
    </row>
    <row r="226" spans="1:5" ht="30" customHeight="1">
      <c r="A226" s="4">
        <v>224</v>
      </c>
      <c r="B226" s="4" t="str">
        <f>"39712022060403571988576"</f>
        <v>39712022060403571988576</v>
      </c>
      <c r="C226" s="4" t="s">
        <v>8</v>
      </c>
      <c r="D226" s="4" t="str">
        <f>"郑东玲"</f>
        <v>郑东玲</v>
      </c>
      <c r="E226" s="4" t="str">
        <f t="shared" si="11"/>
        <v>女</v>
      </c>
    </row>
    <row r="227" spans="1:5" ht="30" customHeight="1">
      <c r="A227" s="4">
        <v>225</v>
      </c>
      <c r="B227" s="4" t="str">
        <f>"39712022060412421788873"</f>
        <v>39712022060412421788873</v>
      </c>
      <c r="C227" s="4" t="s">
        <v>8</v>
      </c>
      <c r="D227" s="4" t="str">
        <f>"王家麒"</f>
        <v>王家麒</v>
      </c>
      <c r="E227" s="4" t="str">
        <f>"男"</f>
        <v>男</v>
      </c>
    </row>
    <row r="228" spans="1:5" ht="30" customHeight="1">
      <c r="A228" s="4">
        <v>226</v>
      </c>
      <c r="B228" s="4" t="str">
        <f>"39712022060416474389111"</f>
        <v>39712022060416474389111</v>
      </c>
      <c r="C228" s="4" t="s">
        <v>8</v>
      </c>
      <c r="D228" s="4" t="str">
        <f>"陈明"</f>
        <v>陈明</v>
      </c>
      <c r="E228" s="4" t="str">
        <f aca="true" t="shared" si="12" ref="E228:E265">"女"</f>
        <v>女</v>
      </c>
    </row>
    <row r="229" spans="1:5" ht="30" customHeight="1">
      <c r="A229" s="4">
        <v>227</v>
      </c>
      <c r="B229" s="4" t="str">
        <f>"39712022060417091189137"</f>
        <v>39712022060417091189137</v>
      </c>
      <c r="C229" s="4" t="s">
        <v>8</v>
      </c>
      <c r="D229" s="4" t="str">
        <f>"林晓宇"</f>
        <v>林晓宇</v>
      </c>
      <c r="E229" s="4" t="str">
        <f t="shared" si="12"/>
        <v>女</v>
      </c>
    </row>
    <row r="230" spans="1:5" ht="30" customHeight="1">
      <c r="A230" s="4">
        <v>228</v>
      </c>
      <c r="B230" s="4" t="str">
        <f>"39712022060423024589493"</f>
        <v>39712022060423024589493</v>
      </c>
      <c r="C230" s="4" t="s">
        <v>8</v>
      </c>
      <c r="D230" s="4" t="str">
        <f>"李青青"</f>
        <v>李青青</v>
      </c>
      <c r="E230" s="4" t="str">
        <f t="shared" si="12"/>
        <v>女</v>
      </c>
    </row>
    <row r="231" spans="1:5" ht="30" customHeight="1">
      <c r="A231" s="4">
        <v>229</v>
      </c>
      <c r="B231" s="4" t="str">
        <f>"39712022060423383889532"</f>
        <v>39712022060423383889532</v>
      </c>
      <c r="C231" s="4" t="s">
        <v>8</v>
      </c>
      <c r="D231" s="4" t="str">
        <f>"宋轲莉"</f>
        <v>宋轲莉</v>
      </c>
      <c r="E231" s="4" t="str">
        <f t="shared" si="12"/>
        <v>女</v>
      </c>
    </row>
    <row r="232" spans="1:5" ht="30" customHeight="1">
      <c r="A232" s="4">
        <v>230</v>
      </c>
      <c r="B232" s="4" t="str">
        <f>"39712022060517020790333"</f>
        <v>39712022060517020790333</v>
      </c>
      <c r="C232" s="4" t="s">
        <v>8</v>
      </c>
      <c r="D232" s="4" t="str">
        <f>"王小菲"</f>
        <v>王小菲</v>
      </c>
      <c r="E232" s="4" t="str">
        <f t="shared" si="12"/>
        <v>女</v>
      </c>
    </row>
    <row r="233" spans="1:5" ht="30" customHeight="1">
      <c r="A233" s="4">
        <v>231</v>
      </c>
      <c r="B233" s="4" t="str">
        <f>"39712022060520003390566"</f>
        <v>39712022060520003390566</v>
      </c>
      <c r="C233" s="4" t="s">
        <v>8</v>
      </c>
      <c r="D233" s="4" t="str">
        <f>"朱方慧"</f>
        <v>朱方慧</v>
      </c>
      <c r="E233" s="4" t="str">
        <f t="shared" si="12"/>
        <v>女</v>
      </c>
    </row>
    <row r="234" spans="1:5" ht="30" customHeight="1">
      <c r="A234" s="4">
        <v>232</v>
      </c>
      <c r="B234" s="4" t="str">
        <f>"39712022060606432991033"</f>
        <v>39712022060606432991033</v>
      </c>
      <c r="C234" s="4" t="s">
        <v>8</v>
      </c>
      <c r="D234" s="4" t="str">
        <f>"陈秀珍"</f>
        <v>陈秀珍</v>
      </c>
      <c r="E234" s="4" t="str">
        <f t="shared" si="12"/>
        <v>女</v>
      </c>
    </row>
    <row r="235" spans="1:5" ht="30" customHeight="1">
      <c r="A235" s="4">
        <v>233</v>
      </c>
      <c r="B235" s="4" t="str">
        <f>"39712022060610072393342"</f>
        <v>39712022060610072393342</v>
      </c>
      <c r="C235" s="4" t="s">
        <v>8</v>
      </c>
      <c r="D235" s="4" t="str">
        <f>"符玉娥"</f>
        <v>符玉娥</v>
      </c>
      <c r="E235" s="4" t="str">
        <f t="shared" si="12"/>
        <v>女</v>
      </c>
    </row>
    <row r="236" spans="1:5" ht="30" customHeight="1">
      <c r="A236" s="4">
        <v>234</v>
      </c>
      <c r="B236" s="4" t="str">
        <f>"39712022060613334896646"</f>
        <v>39712022060613334896646</v>
      </c>
      <c r="C236" s="4" t="s">
        <v>8</v>
      </c>
      <c r="D236" s="4" t="str">
        <f>"冯琬晴"</f>
        <v>冯琬晴</v>
      </c>
      <c r="E236" s="4" t="str">
        <f t="shared" si="12"/>
        <v>女</v>
      </c>
    </row>
    <row r="237" spans="1:5" ht="30" customHeight="1">
      <c r="A237" s="4">
        <v>235</v>
      </c>
      <c r="B237" s="4" t="str">
        <f>"39712022060615204897782"</f>
        <v>39712022060615204897782</v>
      </c>
      <c r="C237" s="4" t="s">
        <v>8</v>
      </c>
      <c r="D237" s="4" t="str">
        <f>"陈吉玲"</f>
        <v>陈吉玲</v>
      </c>
      <c r="E237" s="4" t="str">
        <f t="shared" si="12"/>
        <v>女</v>
      </c>
    </row>
    <row r="238" spans="1:5" ht="30" customHeight="1">
      <c r="A238" s="4">
        <v>236</v>
      </c>
      <c r="B238" s="4" t="str">
        <f>"397120220606224751102083"</f>
        <v>397120220606224751102083</v>
      </c>
      <c r="C238" s="4" t="s">
        <v>8</v>
      </c>
      <c r="D238" s="4" t="str">
        <f>"蔡小蝶"</f>
        <v>蔡小蝶</v>
      </c>
      <c r="E238" s="4" t="str">
        <f t="shared" si="12"/>
        <v>女</v>
      </c>
    </row>
    <row r="239" spans="1:5" ht="30" customHeight="1">
      <c r="A239" s="4">
        <v>237</v>
      </c>
      <c r="B239" s="4" t="str">
        <f>"397120220606231229102212"</f>
        <v>397120220606231229102212</v>
      </c>
      <c r="C239" s="4" t="s">
        <v>8</v>
      </c>
      <c r="D239" s="4" t="str">
        <f>"林丽红"</f>
        <v>林丽红</v>
      </c>
      <c r="E239" s="4" t="str">
        <f t="shared" si="12"/>
        <v>女</v>
      </c>
    </row>
    <row r="240" spans="1:5" ht="30" customHeight="1">
      <c r="A240" s="4">
        <v>238</v>
      </c>
      <c r="B240" s="4" t="str">
        <f>"397120220606232721102280"</f>
        <v>397120220606232721102280</v>
      </c>
      <c r="C240" s="4" t="s">
        <v>8</v>
      </c>
      <c r="D240" s="4" t="str">
        <f>"林妙晴"</f>
        <v>林妙晴</v>
      </c>
      <c r="E240" s="4" t="str">
        <f t="shared" si="12"/>
        <v>女</v>
      </c>
    </row>
    <row r="241" spans="1:5" ht="30" customHeight="1">
      <c r="A241" s="4">
        <v>239</v>
      </c>
      <c r="B241" s="4" t="str">
        <f>"397120220607092310103476"</f>
        <v>397120220607092310103476</v>
      </c>
      <c r="C241" s="4" t="s">
        <v>8</v>
      </c>
      <c r="D241" s="4" t="str">
        <f>"黄莉"</f>
        <v>黄莉</v>
      </c>
      <c r="E241" s="4" t="str">
        <f t="shared" si="12"/>
        <v>女</v>
      </c>
    </row>
    <row r="242" spans="1:5" ht="30" customHeight="1">
      <c r="A242" s="4">
        <v>240</v>
      </c>
      <c r="B242" s="4" t="str">
        <f>"397120220607103054104427"</f>
        <v>397120220607103054104427</v>
      </c>
      <c r="C242" s="4" t="s">
        <v>8</v>
      </c>
      <c r="D242" s="4" t="str">
        <f>"沈莎"</f>
        <v>沈莎</v>
      </c>
      <c r="E242" s="4" t="str">
        <f t="shared" si="12"/>
        <v>女</v>
      </c>
    </row>
    <row r="243" spans="1:5" ht="30" customHeight="1">
      <c r="A243" s="4">
        <v>241</v>
      </c>
      <c r="B243" s="4" t="str">
        <f>"397120220607114434105282"</f>
        <v>397120220607114434105282</v>
      </c>
      <c r="C243" s="4" t="s">
        <v>8</v>
      </c>
      <c r="D243" s="4" t="str">
        <f>"郑静欣"</f>
        <v>郑静欣</v>
      </c>
      <c r="E243" s="4" t="str">
        <f t="shared" si="12"/>
        <v>女</v>
      </c>
    </row>
    <row r="244" spans="1:5" ht="30" customHeight="1">
      <c r="A244" s="4">
        <v>242</v>
      </c>
      <c r="B244" s="4" t="str">
        <f>"397120220607114659105314"</f>
        <v>397120220607114659105314</v>
      </c>
      <c r="C244" s="4" t="s">
        <v>8</v>
      </c>
      <c r="D244" s="4" t="str">
        <f>"冯珊珊"</f>
        <v>冯珊珊</v>
      </c>
      <c r="E244" s="4" t="str">
        <f t="shared" si="12"/>
        <v>女</v>
      </c>
    </row>
    <row r="245" spans="1:5" ht="30" customHeight="1">
      <c r="A245" s="4">
        <v>243</v>
      </c>
      <c r="B245" s="4" t="str">
        <f>"397120220607175601108444"</f>
        <v>397120220607175601108444</v>
      </c>
      <c r="C245" s="4" t="s">
        <v>8</v>
      </c>
      <c r="D245" s="4" t="str">
        <f>"徐小舒"</f>
        <v>徐小舒</v>
      </c>
      <c r="E245" s="4" t="str">
        <f t="shared" si="12"/>
        <v>女</v>
      </c>
    </row>
    <row r="246" spans="1:5" ht="30" customHeight="1">
      <c r="A246" s="4">
        <v>244</v>
      </c>
      <c r="B246" s="4" t="str">
        <f>"397120220608015142110730"</f>
        <v>397120220608015142110730</v>
      </c>
      <c r="C246" s="4" t="s">
        <v>8</v>
      </c>
      <c r="D246" s="4" t="str">
        <f>"唐艺"</f>
        <v>唐艺</v>
      </c>
      <c r="E246" s="4" t="str">
        <f t="shared" si="12"/>
        <v>女</v>
      </c>
    </row>
    <row r="247" spans="1:5" ht="30" customHeight="1">
      <c r="A247" s="4">
        <v>245</v>
      </c>
      <c r="B247" s="4" t="str">
        <f>"39712022060109165778327"</f>
        <v>39712022060109165778327</v>
      </c>
      <c r="C247" s="4" t="s">
        <v>9</v>
      </c>
      <c r="D247" s="4" t="str">
        <f>"刘思序"</f>
        <v>刘思序</v>
      </c>
      <c r="E247" s="4" t="str">
        <f t="shared" si="12"/>
        <v>女</v>
      </c>
    </row>
    <row r="248" spans="1:5" ht="30" customHeight="1">
      <c r="A248" s="4">
        <v>246</v>
      </c>
      <c r="B248" s="4" t="str">
        <f>"39712022060109170178328"</f>
        <v>39712022060109170178328</v>
      </c>
      <c r="C248" s="4" t="s">
        <v>9</v>
      </c>
      <c r="D248" s="4" t="str">
        <f>"丁兰澜"</f>
        <v>丁兰澜</v>
      </c>
      <c r="E248" s="4" t="str">
        <f t="shared" si="12"/>
        <v>女</v>
      </c>
    </row>
    <row r="249" spans="1:5" ht="30" customHeight="1">
      <c r="A249" s="4">
        <v>247</v>
      </c>
      <c r="B249" s="4" t="str">
        <f>"39712022060109341778487"</f>
        <v>39712022060109341778487</v>
      </c>
      <c r="C249" s="4" t="s">
        <v>9</v>
      </c>
      <c r="D249" s="4" t="str">
        <f>"李石美"</f>
        <v>李石美</v>
      </c>
      <c r="E249" s="4" t="str">
        <f t="shared" si="12"/>
        <v>女</v>
      </c>
    </row>
    <row r="250" spans="1:5" ht="30" customHeight="1">
      <c r="A250" s="4">
        <v>248</v>
      </c>
      <c r="B250" s="4" t="str">
        <f>"39712022060110030678737"</f>
        <v>39712022060110030678737</v>
      </c>
      <c r="C250" s="4" t="s">
        <v>9</v>
      </c>
      <c r="D250" s="4" t="str">
        <f>"邓海欢"</f>
        <v>邓海欢</v>
      </c>
      <c r="E250" s="4" t="str">
        <f t="shared" si="12"/>
        <v>女</v>
      </c>
    </row>
    <row r="251" spans="1:5" ht="30" customHeight="1">
      <c r="A251" s="4">
        <v>249</v>
      </c>
      <c r="B251" s="4" t="str">
        <f>"39712022060110083878779"</f>
        <v>39712022060110083878779</v>
      </c>
      <c r="C251" s="4" t="s">
        <v>9</v>
      </c>
      <c r="D251" s="4" t="str">
        <f>"赵艺珊"</f>
        <v>赵艺珊</v>
      </c>
      <c r="E251" s="4" t="str">
        <f t="shared" si="12"/>
        <v>女</v>
      </c>
    </row>
    <row r="252" spans="1:5" ht="30" customHeight="1">
      <c r="A252" s="4">
        <v>250</v>
      </c>
      <c r="B252" s="4" t="str">
        <f>"39712022060110161478837"</f>
        <v>39712022060110161478837</v>
      </c>
      <c r="C252" s="4" t="s">
        <v>9</v>
      </c>
      <c r="D252" s="4" t="str">
        <f>"杜珅源"</f>
        <v>杜珅源</v>
      </c>
      <c r="E252" s="4" t="str">
        <f t="shared" si="12"/>
        <v>女</v>
      </c>
    </row>
    <row r="253" spans="1:5" ht="30" customHeight="1">
      <c r="A253" s="4">
        <v>251</v>
      </c>
      <c r="B253" s="4" t="str">
        <f>"39712022060110203078873"</f>
        <v>39712022060110203078873</v>
      </c>
      <c r="C253" s="4" t="s">
        <v>9</v>
      </c>
      <c r="D253" s="4" t="str">
        <f>"吴雯倩"</f>
        <v>吴雯倩</v>
      </c>
      <c r="E253" s="4" t="str">
        <f t="shared" si="12"/>
        <v>女</v>
      </c>
    </row>
    <row r="254" spans="1:5" ht="30" customHeight="1">
      <c r="A254" s="4">
        <v>252</v>
      </c>
      <c r="B254" s="4" t="str">
        <f>"39712022060110214678881"</f>
        <v>39712022060110214678881</v>
      </c>
      <c r="C254" s="4" t="s">
        <v>9</v>
      </c>
      <c r="D254" s="4" t="str">
        <f>"符程怡"</f>
        <v>符程怡</v>
      </c>
      <c r="E254" s="4" t="str">
        <f t="shared" si="12"/>
        <v>女</v>
      </c>
    </row>
    <row r="255" spans="1:5" ht="30" customHeight="1">
      <c r="A255" s="4">
        <v>253</v>
      </c>
      <c r="B255" s="4" t="str">
        <f>"39712022060110364379009"</f>
        <v>39712022060110364379009</v>
      </c>
      <c r="C255" s="4" t="s">
        <v>9</v>
      </c>
      <c r="D255" s="4" t="str">
        <f>"陈丽花"</f>
        <v>陈丽花</v>
      </c>
      <c r="E255" s="4" t="str">
        <f t="shared" si="12"/>
        <v>女</v>
      </c>
    </row>
    <row r="256" spans="1:5" ht="30" customHeight="1">
      <c r="A256" s="4">
        <v>254</v>
      </c>
      <c r="B256" s="4" t="str">
        <f>"39712022060110491079108"</f>
        <v>39712022060110491079108</v>
      </c>
      <c r="C256" s="4" t="s">
        <v>9</v>
      </c>
      <c r="D256" s="4" t="str">
        <f>"文欣然"</f>
        <v>文欣然</v>
      </c>
      <c r="E256" s="4" t="str">
        <f t="shared" si="12"/>
        <v>女</v>
      </c>
    </row>
    <row r="257" spans="1:5" ht="30" customHeight="1">
      <c r="A257" s="4">
        <v>255</v>
      </c>
      <c r="B257" s="4" t="str">
        <f>"39712022060111342479465"</f>
        <v>39712022060111342479465</v>
      </c>
      <c r="C257" s="4" t="s">
        <v>9</v>
      </c>
      <c r="D257" s="4" t="str">
        <f>"彭潇柳"</f>
        <v>彭潇柳</v>
      </c>
      <c r="E257" s="4" t="str">
        <f t="shared" si="12"/>
        <v>女</v>
      </c>
    </row>
    <row r="258" spans="1:5" ht="30" customHeight="1">
      <c r="A258" s="4">
        <v>256</v>
      </c>
      <c r="B258" s="4" t="str">
        <f>"39712022060111463979528"</f>
        <v>39712022060111463979528</v>
      </c>
      <c r="C258" s="4" t="s">
        <v>9</v>
      </c>
      <c r="D258" s="4" t="str">
        <f>"苏茹"</f>
        <v>苏茹</v>
      </c>
      <c r="E258" s="4" t="str">
        <f t="shared" si="12"/>
        <v>女</v>
      </c>
    </row>
    <row r="259" spans="1:5" ht="30" customHeight="1">
      <c r="A259" s="4">
        <v>257</v>
      </c>
      <c r="B259" s="4" t="str">
        <f>"39712022060112041879621"</f>
        <v>39712022060112041879621</v>
      </c>
      <c r="C259" s="4" t="s">
        <v>9</v>
      </c>
      <c r="D259" s="4" t="str">
        <f>"黄晓静"</f>
        <v>黄晓静</v>
      </c>
      <c r="E259" s="4" t="str">
        <f t="shared" si="12"/>
        <v>女</v>
      </c>
    </row>
    <row r="260" spans="1:5" ht="30" customHeight="1">
      <c r="A260" s="4">
        <v>258</v>
      </c>
      <c r="B260" s="4" t="str">
        <f>"39712022060112294779755"</f>
        <v>39712022060112294779755</v>
      </c>
      <c r="C260" s="4" t="s">
        <v>9</v>
      </c>
      <c r="D260" s="4" t="str">
        <f>"戴梦盈"</f>
        <v>戴梦盈</v>
      </c>
      <c r="E260" s="4" t="str">
        <f t="shared" si="12"/>
        <v>女</v>
      </c>
    </row>
    <row r="261" spans="1:5" ht="30" customHeight="1">
      <c r="A261" s="4">
        <v>259</v>
      </c>
      <c r="B261" s="4" t="str">
        <f>"39712022060112442479834"</f>
        <v>39712022060112442479834</v>
      </c>
      <c r="C261" s="4" t="s">
        <v>9</v>
      </c>
      <c r="D261" s="4" t="str">
        <f>"黎秋宏"</f>
        <v>黎秋宏</v>
      </c>
      <c r="E261" s="4" t="str">
        <f t="shared" si="12"/>
        <v>女</v>
      </c>
    </row>
    <row r="262" spans="1:5" ht="30" customHeight="1">
      <c r="A262" s="4">
        <v>260</v>
      </c>
      <c r="B262" s="4" t="str">
        <f>"39712022060112465879849"</f>
        <v>39712022060112465879849</v>
      </c>
      <c r="C262" s="4" t="s">
        <v>9</v>
      </c>
      <c r="D262" s="4" t="str">
        <f>"翁子棉"</f>
        <v>翁子棉</v>
      </c>
      <c r="E262" s="4" t="str">
        <f t="shared" si="12"/>
        <v>女</v>
      </c>
    </row>
    <row r="263" spans="1:5" ht="30" customHeight="1">
      <c r="A263" s="4">
        <v>261</v>
      </c>
      <c r="B263" s="4" t="str">
        <f>"39712022060112485579858"</f>
        <v>39712022060112485579858</v>
      </c>
      <c r="C263" s="4" t="s">
        <v>9</v>
      </c>
      <c r="D263" s="4" t="str">
        <f>"黄晓慧"</f>
        <v>黄晓慧</v>
      </c>
      <c r="E263" s="4" t="str">
        <f t="shared" si="12"/>
        <v>女</v>
      </c>
    </row>
    <row r="264" spans="1:5" ht="30" customHeight="1">
      <c r="A264" s="4">
        <v>262</v>
      </c>
      <c r="B264" s="4" t="str">
        <f>"39712022060112494579862"</f>
        <v>39712022060112494579862</v>
      </c>
      <c r="C264" s="4" t="s">
        <v>9</v>
      </c>
      <c r="D264" s="4" t="str">
        <f>"李丽霞"</f>
        <v>李丽霞</v>
      </c>
      <c r="E264" s="4" t="str">
        <f t="shared" si="12"/>
        <v>女</v>
      </c>
    </row>
    <row r="265" spans="1:5" ht="30" customHeight="1">
      <c r="A265" s="4">
        <v>263</v>
      </c>
      <c r="B265" s="4" t="str">
        <f>"39712022060113005279923"</f>
        <v>39712022060113005279923</v>
      </c>
      <c r="C265" s="4" t="s">
        <v>9</v>
      </c>
      <c r="D265" s="4" t="str">
        <f>"符玉玲"</f>
        <v>符玉玲</v>
      </c>
      <c r="E265" s="4" t="str">
        <f t="shared" si="12"/>
        <v>女</v>
      </c>
    </row>
    <row r="266" spans="1:5" ht="30" customHeight="1">
      <c r="A266" s="4">
        <v>264</v>
      </c>
      <c r="B266" s="4" t="str">
        <f>"39712022060113035079935"</f>
        <v>39712022060113035079935</v>
      </c>
      <c r="C266" s="4" t="s">
        <v>9</v>
      </c>
      <c r="D266" s="4" t="str">
        <f>"吴清林"</f>
        <v>吴清林</v>
      </c>
      <c r="E266" s="4" t="str">
        <f>"男"</f>
        <v>男</v>
      </c>
    </row>
    <row r="267" spans="1:5" ht="30" customHeight="1">
      <c r="A267" s="4">
        <v>265</v>
      </c>
      <c r="B267" s="4" t="str">
        <f>"39712022060113092679961"</f>
        <v>39712022060113092679961</v>
      </c>
      <c r="C267" s="4" t="s">
        <v>9</v>
      </c>
      <c r="D267" s="4" t="str">
        <f>"韩采悦"</f>
        <v>韩采悦</v>
      </c>
      <c r="E267" s="4" t="str">
        <f>"女"</f>
        <v>女</v>
      </c>
    </row>
    <row r="268" spans="1:5" ht="30" customHeight="1">
      <c r="A268" s="4">
        <v>266</v>
      </c>
      <c r="B268" s="4" t="str">
        <f>"39712022060113310980062"</f>
        <v>39712022060113310980062</v>
      </c>
      <c r="C268" s="4" t="s">
        <v>9</v>
      </c>
      <c r="D268" s="4" t="str">
        <f>"王治民"</f>
        <v>王治民</v>
      </c>
      <c r="E268" s="4" t="str">
        <f>"男"</f>
        <v>男</v>
      </c>
    </row>
    <row r="269" spans="1:5" ht="30" customHeight="1">
      <c r="A269" s="4">
        <v>267</v>
      </c>
      <c r="B269" s="4" t="str">
        <f>"39712022060113341980082"</f>
        <v>39712022060113341980082</v>
      </c>
      <c r="C269" s="4" t="s">
        <v>9</v>
      </c>
      <c r="D269" s="4" t="str">
        <f>"吴虹冰"</f>
        <v>吴虹冰</v>
      </c>
      <c r="E269" s="4" t="str">
        <f aca="true" t="shared" si="13" ref="E269:E332">"女"</f>
        <v>女</v>
      </c>
    </row>
    <row r="270" spans="1:5" ht="30" customHeight="1">
      <c r="A270" s="4">
        <v>268</v>
      </c>
      <c r="B270" s="4" t="str">
        <f>"39712022060114080180197"</f>
        <v>39712022060114080180197</v>
      </c>
      <c r="C270" s="4" t="s">
        <v>9</v>
      </c>
      <c r="D270" s="4" t="str">
        <f>"王哲扬"</f>
        <v>王哲扬</v>
      </c>
      <c r="E270" s="4" t="str">
        <f t="shared" si="13"/>
        <v>女</v>
      </c>
    </row>
    <row r="271" spans="1:5" ht="30" customHeight="1">
      <c r="A271" s="4">
        <v>269</v>
      </c>
      <c r="B271" s="4" t="str">
        <f>"39712022060114083080202"</f>
        <v>39712022060114083080202</v>
      </c>
      <c r="C271" s="4" t="s">
        <v>9</v>
      </c>
      <c r="D271" s="4" t="str">
        <f>"方琴岚"</f>
        <v>方琴岚</v>
      </c>
      <c r="E271" s="4" t="str">
        <f t="shared" si="13"/>
        <v>女</v>
      </c>
    </row>
    <row r="272" spans="1:5" ht="30" customHeight="1">
      <c r="A272" s="4">
        <v>270</v>
      </c>
      <c r="B272" s="4" t="str">
        <f>"39712022060114292180283"</f>
        <v>39712022060114292180283</v>
      </c>
      <c r="C272" s="4" t="s">
        <v>9</v>
      </c>
      <c r="D272" s="4" t="str">
        <f>"苏航"</f>
        <v>苏航</v>
      </c>
      <c r="E272" s="4" t="str">
        <f t="shared" si="13"/>
        <v>女</v>
      </c>
    </row>
    <row r="273" spans="1:5" ht="30" customHeight="1">
      <c r="A273" s="4">
        <v>271</v>
      </c>
      <c r="B273" s="4" t="str">
        <f>"39712022060114465780360"</f>
        <v>39712022060114465780360</v>
      </c>
      <c r="C273" s="4" t="s">
        <v>9</v>
      </c>
      <c r="D273" s="4" t="str">
        <f>"王燕扬"</f>
        <v>王燕扬</v>
      </c>
      <c r="E273" s="4" t="str">
        <f t="shared" si="13"/>
        <v>女</v>
      </c>
    </row>
    <row r="274" spans="1:5" ht="30" customHeight="1">
      <c r="A274" s="4">
        <v>272</v>
      </c>
      <c r="B274" s="4" t="str">
        <f>"39712022060114582580421"</f>
        <v>39712022060114582580421</v>
      </c>
      <c r="C274" s="4" t="s">
        <v>9</v>
      </c>
      <c r="D274" s="4" t="str">
        <f>"郑雨桃"</f>
        <v>郑雨桃</v>
      </c>
      <c r="E274" s="4" t="str">
        <f t="shared" si="13"/>
        <v>女</v>
      </c>
    </row>
    <row r="275" spans="1:5" ht="30" customHeight="1">
      <c r="A275" s="4">
        <v>273</v>
      </c>
      <c r="B275" s="4" t="str">
        <f>"39712022060115084280471"</f>
        <v>39712022060115084280471</v>
      </c>
      <c r="C275" s="4" t="s">
        <v>9</v>
      </c>
      <c r="D275" s="4" t="str">
        <f>"刘羽西"</f>
        <v>刘羽西</v>
      </c>
      <c r="E275" s="4" t="str">
        <f t="shared" si="13"/>
        <v>女</v>
      </c>
    </row>
    <row r="276" spans="1:5" ht="30" customHeight="1">
      <c r="A276" s="4">
        <v>274</v>
      </c>
      <c r="B276" s="4" t="str">
        <f>"39712022060115234580564"</f>
        <v>39712022060115234580564</v>
      </c>
      <c r="C276" s="4" t="s">
        <v>9</v>
      </c>
      <c r="D276" s="4" t="str">
        <f>"庞青青"</f>
        <v>庞青青</v>
      </c>
      <c r="E276" s="4" t="str">
        <f t="shared" si="13"/>
        <v>女</v>
      </c>
    </row>
    <row r="277" spans="1:5" ht="30" customHeight="1">
      <c r="A277" s="4">
        <v>275</v>
      </c>
      <c r="B277" s="4" t="str">
        <f>"39712022060116083180844"</f>
        <v>39712022060116083180844</v>
      </c>
      <c r="C277" s="4" t="s">
        <v>9</v>
      </c>
      <c r="D277" s="4" t="str">
        <f>"祁晶晶"</f>
        <v>祁晶晶</v>
      </c>
      <c r="E277" s="4" t="str">
        <f t="shared" si="13"/>
        <v>女</v>
      </c>
    </row>
    <row r="278" spans="1:5" ht="30" customHeight="1">
      <c r="A278" s="4">
        <v>276</v>
      </c>
      <c r="B278" s="4" t="str">
        <f>"39712022060116193980910"</f>
        <v>39712022060116193980910</v>
      </c>
      <c r="C278" s="4" t="s">
        <v>9</v>
      </c>
      <c r="D278" s="4" t="str">
        <f>"吴莲花"</f>
        <v>吴莲花</v>
      </c>
      <c r="E278" s="4" t="str">
        <f t="shared" si="13"/>
        <v>女</v>
      </c>
    </row>
    <row r="279" spans="1:5" ht="30" customHeight="1">
      <c r="A279" s="4">
        <v>277</v>
      </c>
      <c r="B279" s="4" t="str">
        <f>"39712022060116483581076"</f>
        <v>39712022060116483581076</v>
      </c>
      <c r="C279" s="4" t="s">
        <v>9</v>
      </c>
      <c r="D279" s="4" t="str">
        <f>"刘勇秀"</f>
        <v>刘勇秀</v>
      </c>
      <c r="E279" s="4" t="str">
        <f t="shared" si="13"/>
        <v>女</v>
      </c>
    </row>
    <row r="280" spans="1:5" ht="30" customHeight="1">
      <c r="A280" s="4">
        <v>278</v>
      </c>
      <c r="B280" s="4" t="str">
        <f>"39712022060116531081103"</f>
        <v>39712022060116531081103</v>
      </c>
      <c r="C280" s="4" t="s">
        <v>9</v>
      </c>
      <c r="D280" s="4" t="str">
        <f>"黄英姿"</f>
        <v>黄英姿</v>
      </c>
      <c r="E280" s="4" t="str">
        <f t="shared" si="13"/>
        <v>女</v>
      </c>
    </row>
    <row r="281" spans="1:5" ht="30" customHeight="1">
      <c r="A281" s="4">
        <v>279</v>
      </c>
      <c r="B281" s="4" t="str">
        <f>"39712022060117230781265"</f>
        <v>39712022060117230781265</v>
      </c>
      <c r="C281" s="4" t="s">
        <v>9</v>
      </c>
      <c r="D281" s="4" t="str">
        <f>"黄秋丽"</f>
        <v>黄秋丽</v>
      </c>
      <c r="E281" s="4" t="str">
        <f t="shared" si="13"/>
        <v>女</v>
      </c>
    </row>
    <row r="282" spans="1:5" ht="30" customHeight="1">
      <c r="A282" s="4">
        <v>280</v>
      </c>
      <c r="B282" s="4" t="str">
        <f>"39712022060117244181277"</f>
        <v>39712022060117244181277</v>
      </c>
      <c r="C282" s="4" t="s">
        <v>9</v>
      </c>
      <c r="D282" s="4" t="str">
        <f>"文丽苗"</f>
        <v>文丽苗</v>
      </c>
      <c r="E282" s="4" t="str">
        <f t="shared" si="13"/>
        <v>女</v>
      </c>
    </row>
    <row r="283" spans="1:5" ht="30" customHeight="1">
      <c r="A283" s="4">
        <v>281</v>
      </c>
      <c r="B283" s="4" t="str">
        <f>"39712022060117262081286"</f>
        <v>39712022060117262081286</v>
      </c>
      <c r="C283" s="4" t="s">
        <v>9</v>
      </c>
      <c r="D283" s="4" t="str">
        <f>"邬祥钰"</f>
        <v>邬祥钰</v>
      </c>
      <c r="E283" s="4" t="str">
        <f t="shared" si="13"/>
        <v>女</v>
      </c>
    </row>
    <row r="284" spans="1:5" ht="30" customHeight="1">
      <c r="A284" s="4">
        <v>282</v>
      </c>
      <c r="B284" s="4" t="str">
        <f>"39712022060117310381318"</f>
        <v>39712022060117310381318</v>
      </c>
      <c r="C284" s="4" t="s">
        <v>9</v>
      </c>
      <c r="D284" s="4" t="str">
        <f>"王玉"</f>
        <v>王玉</v>
      </c>
      <c r="E284" s="4" t="str">
        <f t="shared" si="13"/>
        <v>女</v>
      </c>
    </row>
    <row r="285" spans="1:5" ht="30" customHeight="1">
      <c r="A285" s="4">
        <v>283</v>
      </c>
      <c r="B285" s="4" t="str">
        <f>"39712022060117474281393"</f>
        <v>39712022060117474281393</v>
      </c>
      <c r="C285" s="4" t="s">
        <v>9</v>
      </c>
      <c r="D285" s="4" t="str">
        <f>"刘迪雅"</f>
        <v>刘迪雅</v>
      </c>
      <c r="E285" s="4" t="str">
        <f t="shared" si="13"/>
        <v>女</v>
      </c>
    </row>
    <row r="286" spans="1:5" ht="30" customHeight="1">
      <c r="A286" s="4">
        <v>284</v>
      </c>
      <c r="B286" s="4" t="str">
        <f>"39712022060117594981454"</f>
        <v>39712022060117594981454</v>
      </c>
      <c r="C286" s="4" t="s">
        <v>9</v>
      </c>
      <c r="D286" s="4" t="str">
        <f>"刘青"</f>
        <v>刘青</v>
      </c>
      <c r="E286" s="4" t="str">
        <f t="shared" si="13"/>
        <v>女</v>
      </c>
    </row>
    <row r="287" spans="1:5" ht="30" customHeight="1">
      <c r="A287" s="4">
        <v>285</v>
      </c>
      <c r="B287" s="4" t="str">
        <f>"39712022060118134281511"</f>
        <v>39712022060118134281511</v>
      </c>
      <c r="C287" s="4" t="s">
        <v>9</v>
      </c>
      <c r="D287" s="4" t="str">
        <f>"李梦茹"</f>
        <v>李梦茹</v>
      </c>
      <c r="E287" s="4" t="str">
        <f t="shared" si="13"/>
        <v>女</v>
      </c>
    </row>
    <row r="288" spans="1:5" ht="30" customHeight="1">
      <c r="A288" s="4">
        <v>286</v>
      </c>
      <c r="B288" s="4" t="str">
        <f>"39712022060118443381641"</f>
        <v>39712022060118443381641</v>
      </c>
      <c r="C288" s="4" t="s">
        <v>9</v>
      </c>
      <c r="D288" s="4" t="str">
        <f>"林芳如"</f>
        <v>林芳如</v>
      </c>
      <c r="E288" s="4" t="str">
        <f t="shared" si="13"/>
        <v>女</v>
      </c>
    </row>
    <row r="289" spans="1:5" ht="30" customHeight="1">
      <c r="A289" s="4">
        <v>287</v>
      </c>
      <c r="B289" s="4" t="str">
        <f>"39712022060119071781736"</f>
        <v>39712022060119071781736</v>
      </c>
      <c r="C289" s="4" t="s">
        <v>9</v>
      </c>
      <c r="D289" s="4" t="str">
        <f>"符月丹"</f>
        <v>符月丹</v>
      </c>
      <c r="E289" s="4" t="str">
        <f t="shared" si="13"/>
        <v>女</v>
      </c>
    </row>
    <row r="290" spans="1:5" ht="30" customHeight="1">
      <c r="A290" s="4">
        <v>288</v>
      </c>
      <c r="B290" s="4" t="str">
        <f>"39712022060119155281768"</f>
        <v>39712022060119155281768</v>
      </c>
      <c r="C290" s="4" t="s">
        <v>9</v>
      </c>
      <c r="D290" s="4" t="str">
        <f>"符秀梅"</f>
        <v>符秀梅</v>
      </c>
      <c r="E290" s="4" t="str">
        <f t="shared" si="13"/>
        <v>女</v>
      </c>
    </row>
    <row r="291" spans="1:5" ht="30" customHeight="1">
      <c r="A291" s="4">
        <v>289</v>
      </c>
      <c r="B291" s="4" t="str">
        <f>"39712022060119450081883"</f>
        <v>39712022060119450081883</v>
      </c>
      <c r="C291" s="4" t="s">
        <v>9</v>
      </c>
      <c r="D291" s="4" t="str">
        <f>"陈梦媛"</f>
        <v>陈梦媛</v>
      </c>
      <c r="E291" s="4" t="str">
        <f t="shared" si="13"/>
        <v>女</v>
      </c>
    </row>
    <row r="292" spans="1:5" ht="30" customHeight="1">
      <c r="A292" s="4">
        <v>290</v>
      </c>
      <c r="B292" s="4" t="str">
        <f>"39712022060120060681976"</f>
        <v>39712022060120060681976</v>
      </c>
      <c r="C292" s="4" t="s">
        <v>9</v>
      </c>
      <c r="D292" s="4" t="str">
        <f>"王菁"</f>
        <v>王菁</v>
      </c>
      <c r="E292" s="4" t="str">
        <f t="shared" si="13"/>
        <v>女</v>
      </c>
    </row>
    <row r="293" spans="1:5" ht="30" customHeight="1">
      <c r="A293" s="4">
        <v>291</v>
      </c>
      <c r="B293" s="4" t="str">
        <f>"39712022060120285682076"</f>
        <v>39712022060120285682076</v>
      </c>
      <c r="C293" s="4" t="s">
        <v>9</v>
      </c>
      <c r="D293" s="4" t="str">
        <f>"符佳琦"</f>
        <v>符佳琦</v>
      </c>
      <c r="E293" s="4" t="str">
        <f t="shared" si="13"/>
        <v>女</v>
      </c>
    </row>
    <row r="294" spans="1:5" ht="30" customHeight="1">
      <c r="A294" s="4">
        <v>292</v>
      </c>
      <c r="B294" s="4" t="str">
        <f>"39712022060120540482195"</f>
        <v>39712022060120540482195</v>
      </c>
      <c r="C294" s="4" t="s">
        <v>9</v>
      </c>
      <c r="D294" s="4" t="str">
        <f>"李海莹"</f>
        <v>李海莹</v>
      </c>
      <c r="E294" s="4" t="str">
        <f t="shared" si="13"/>
        <v>女</v>
      </c>
    </row>
    <row r="295" spans="1:5" ht="30" customHeight="1">
      <c r="A295" s="4">
        <v>293</v>
      </c>
      <c r="B295" s="4" t="str">
        <f>"39712022060120565482211"</f>
        <v>39712022060120565482211</v>
      </c>
      <c r="C295" s="4" t="s">
        <v>9</v>
      </c>
      <c r="D295" s="4" t="str">
        <f>"周艺"</f>
        <v>周艺</v>
      </c>
      <c r="E295" s="4" t="str">
        <f t="shared" si="13"/>
        <v>女</v>
      </c>
    </row>
    <row r="296" spans="1:5" ht="30" customHeight="1">
      <c r="A296" s="4">
        <v>294</v>
      </c>
      <c r="B296" s="4" t="str">
        <f>"39712022060120581782218"</f>
        <v>39712022060120581782218</v>
      </c>
      <c r="C296" s="4" t="s">
        <v>9</v>
      </c>
      <c r="D296" s="4" t="str">
        <f>"黄春竹"</f>
        <v>黄春竹</v>
      </c>
      <c r="E296" s="4" t="str">
        <f t="shared" si="13"/>
        <v>女</v>
      </c>
    </row>
    <row r="297" spans="1:5" ht="30" customHeight="1">
      <c r="A297" s="4">
        <v>295</v>
      </c>
      <c r="B297" s="4" t="str">
        <f>"39712022060121074982269"</f>
        <v>39712022060121074982269</v>
      </c>
      <c r="C297" s="4" t="s">
        <v>9</v>
      </c>
      <c r="D297" s="4" t="str">
        <f>"杨月兰"</f>
        <v>杨月兰</v>
      </c>
      <c r="E297" s="4" t="str">
        <f t="shared" si="13"/>
        <v>女</v>
      </c>
    </row>
    <row r="298" spans="1:5" ht="30" customHeight="1">
      <c r="A298" s="4">
        <v>296</v>
      </c>
      <c r="B298" s="4" t="str">
        <f>"39712022060121253082357"</f>
        <v>39712022060121253082357</v>
      </c>
      <c r="C298" s="4" t="s">
        <v>9</v>
      </c>
      <c r="D298" s="4" t="str">
        <f>"胡紫静"</f>
        <v>胡紫静</v>
      </c>
      <c r="E298" s="4" t="str">
        <f t="shared" si="13"/>
        <v>女</v>
      </c>
    </row>
    <row r="299" spans="1:5" ht="30" customHeight="1">
      <c r="A299" s="4">
        <v>297</v>
      </c>
      <c r="B299" s="4" t="str">
        <f>"39712022060121263082360"</f>
        <v>39712022060121263082360</v>
      </c>
      <c r="C299" s="4" t="s">
        <v>9</v>
      </c>
      <c r="D299" s="4" t="str">
        <f>"纪小健"</f>
        <v>纪小健</v>
      </c>
      <c r="E299" s="4" t="str">
        <f t="shared" si="13"/>
        <v>女</v>
      </c>
    </row>
    <row r="300" spans="1:5" ht="30" customHeight="1">
      <c r="A300" s="4">
        <v>298</v>
      </c>
      <c r="B300" s="4" t="str">
        <f>"39712022060121312282392"</f>
        <v>39712022060121312282392</v>
      </c>
      <c r="C300" s="4" t="s">
        <v>9</v>
      </c>
      <c r="D300" s="4" t="str">
        <f>"黄小贝"</f>
        <v>黄小贝</v>
      </c>
      <c r="E300" s="4" t="str">
        <f t="shared" si="13"/>
        <v>女</v>
      </c>
    </row>
    <row r="301" spans="1:5" ht="30" customHeight="1">
      <c r="A301" s="4">
        <v>299</v>
      </c>
      <c r="B301" s="4" t="str">
        <f>"39712022060122561182847"</f>
        <v>39712022060122561182847</v>
      </c>
      <c r="C301" s="4" t="s">
        <v>9</v>
      </c>
      <c r="D301" s="4" t="str">
        <f>"文先慧"</f>
        <v>文先慧</v>
      </c>
      <c r="E301" s="4" t="str">
        <f t="shared" si="13"/>
        <v>女</v>
      </c>
    </row>
    <row r="302" spans="1:5" ht="30" customHeight="1">
      <c r="A302" s="4">
        <v>300</v>
      </c>
      <c r="B302" s="4" t="str">
        <f>"39712022060123081982895"</f>
        <v>39712022060123081982895</v>
      </c>
      <c r="C302" s="4" t="s">
        <v>9</v>
      </c>
      <c r="D302" s="4" t="str">
        <f>"王利琴"</f>
        <v>王利琴</v>
      </c>
      <c r="E302" s="4" t="str">
        <f t="shared" si="13"/>
        <v>女</v>
      </c>
    </row>
    <row r="303" spans="1:5" ht="30" customHeight="1">
      <c r="A303" s="4">
        <v>301</v>
      </c>
      <c r="B303" s="4" t="str">
        <f>"39712022060200282983089"</f>
        <v>39712022060200282983089</v>
      </c>
      <c r="C303" s="4" t="s">
        <v>9</v>
      </c>
      <c r="D303" s="4" t="str">
        <f>"周娴"</f>
        <v>周娴</v>
      </c>
      <c r="E303" s="4" t="str">
        <f t="shared" si="13"/>
        <v>女</v>
      </c>
    </row>
    <row r="304" spans="1:5" ht="30" customHeight="1">
      <c r="A304" s="4">
        <v>302</v>
      </c>
      <c r="B304" s="4" t="str">
        <f>"39712022060208570483483"</f>
        <v>39712022060208570483483</v>
      </c>
      <c r="C304" s="4" t="s">
        <v>9</v>
      </c>
      <c r="D304" s="4" t="str">
        <f>"冯锦春"</f>
        <v>冯锦春</v>
      </c>
      <c r="E304" s="4" t="str">
        <f t="shared" si="13"/>
        <v>女</v>
      </c>
    </row>
    <row r="305" spans="1:5" ht="30" customHeight="1">
      <c r="A305" s="4">
        <v>303</v>
      </c>
      <c r="B305" s="4" t="str">
        <f>"39712022060209422583819"</f>
        <v>39712022060209422583819</v>
      </c>
      <c r="C305" s="4" t="s">
        <v>9</v>
      </c>
      <c r="D305" s="4" t="str">
        <f>"陈彩娇"</f>
        <v>陈彩娇</v>
      </c>
      <c r="E305" s="4" t="str">
        <f t="shared" si="13"/>
        <v>女</v>
      </c>
    </row>
    <row r="306" spans="1:5" ht="30" customHeight="1">
      <c r="A306" s="4">
        <v>304</v>
      </c>
      <c r="B306" s="4" t="str">
        <f>"39712022060210485284314"</f>
        <v>39712022060210485284314</v>
      </c>
      <c r="C306" s="4" t="s">
        <v>9</v>
      </c>
      <c r="D306" s="4" t="str">
        <f>"符碧玉"</f>
        <v>符碧玉</v>
      </c>
      <c r="E306" s="4" t="str">
        <f t="shared" si="13"/>
        <v>女</v>
      </c>
    </row>
    <row r="307" spans="1:5" ht="30" customHeight="1">
      <c r="A307" s="4">
        <v>305</v>
      </c>
      <c r="B307" s="4" t="str">
        <f>"39712022060213091185166"</f>
        <v>39712022060213091185166</v>
      </c>
      <c r="C307" s="4" t="s">
        <v>9</v>
      </c>
      <c r="D307" s="4" t="str">
        <f>"王馨仪"</f>
        <v>王馨仪</v>
      </c>
      <c r="E307" s="4" t="str">
        <f t="shared" si="13"/>
        <v>女</v>
      </c>
    </row>
    <row r="308" spans="1:5" ht="30" customHeight="1">
      <c r="A308" s="4">
        <v>306</v>
      </c>
      <c r="B308" s="4" t="str">
        <f>"39712022060214043585404"</f>
        <v>39712022060214043585404</v>
      </c>
      <c r="C308" s="4" t="s">
        <v>9</v>
      </c>
      <c r="D308" s="4" t="str">
        <f>"黄佩瑶"</f>
        <v>黄佩瑶</v>
      </c>
      <c r="E308" s="4" t="str">
        <f t="shared" si="13"/>
        <v>女</v>
      </c>
    </row>
    <row r="309" spans="1:5" ht="30" customHeight="1">
      <c r="A309" s="4">
        <v>307</v>
      </c>
      <c r="B309" s="4" t="str">
        <f>"39712022060214051885405"</f>
        <v>39712022060214051885405</v>
      </c>
      <c r="C309" s="4" t="s">
        <v>9</v>
      </c>
      <c r="D309" s="4" t="str">
        <f>"王颖"</f>
        <v>王颖</v>
      </c>
      <c r="E309" s="4" t="str">
        <f t="shared" si="13"/>
        <v>女</v>
      </c>
    </row>
    <row r="310" spans="1:5" ht="30" customHeight="1">
      <c r="A310" s="4">
        <v>308</v>
      </c>
      <c r="B310" s="4" t="str">
        <f>"39712022060214210185466"</f>
        <v>39712022060214210185466</v>
      </c>
      <c r="C310" s="4" t="s">
        <v>9</v>
      </c>
      <c r="D310" s="4" t="str">
        <f>"林叶玉"</f>
        <v>林叶玉</v>
      </c>
      <c r="E310" s="4" t="str">
        <f t="shared" si="13"/>
        <v>女</v>
      </c>
    </row>
    <row r="311" spans="1:5" ht="30" customHeight="1">
      <c r="A311" s="4">
        <v>309</v>
      </c>
      <c r="B311" s="4" t="str">
        <f>"39712022060214420885543"</f>
        <v>39712022060214420885543</v>
      </c>
      <c r="C311" s="4" t="s">
        <v>9</v>
      </c>
      <c r="D311" s="4" t="str">
        <f>"万美伶"</f>
        <v>万美伶</v>
      </c>
      <c r="E311" s="4" t="str">
        <f t="shared" si="13"/>
        <v>女</v>
      </c>
    </row>
    <row r="312" spans="1:5" ht="30" customHeight="1">
      <c r="A312" s="4">
        <v>310</v>
      </c>
      <c r="B312" s="4" t="str">
        <f>"39712022060214493085583"</f>
        <v>39712022060214493085583</v>
      </c>
      <c r="C312" s="4" t="s">
        <v>9</v>
      </c>
      <c r="D312" s="4" t="str">
        <f>"胡静欣"</f>
        <v>胡静欣</v>
      </c>
      <c r="E312" s="4" t="str">
        <f t="shared" si="13"/>
        <v>女</v>
      </c>
    </row>
    <row r="313" spans="1:5" ht="30" customHeight="1">
      <c r="A313" s="4">
        <v>311</v>
      </c>
      <c r="B313" s="4" t="str">
        <f>"39712022060214562685632"</f>
        <v>39712022060214562685632</v>
      </c>
      <c r="C313" s="4" t="s">
        <v>9</v>
      </c>
      <c r="D313" s="4" t="str">
        <f>"廖锦晴"</f>
        <v>廖锦晴</v>
      </c>
      <c r="E313" s="4" t="str">
        <f t="shared" si="13"/>
        <v>女</v>
      </c>
    </row>
    <row r="314" spans="1:5" ht="30" customHeight="1">
      <c r="A314" s="4">
        <v>312</v>
      </c>
      <c r="B314" s="4" t="str">
        <f>"39712022060215013685660"</f>
        <v>39712022060215013685660</v>
      </c>
      <c r="C314" s="4" t="s">
        <v>9</v>
      </c>
      <c r="D314" s="4" t="str">
        <f>"黄青青"</f>
        <v>黄青青</v>
      </c>
      <c r="E314" s="4" t="str">
        <f t="shared" si="13"/>
        <v>女</v>
      </c>
    </row>
    <row r="315" spans="1:5" ht="30" customHeight="1">
      <c r="A315" s="4">
        <v>313</v>
      </c>
      <c r="B315" s="4" t="str">
        <f>"39712022060215470785930"</f>
        <v>39712022060215470785930</v>
      </c>
      <c r="C315" s="4" t="s">
        <v>9</v>
      </c>
      <c r="D315" s="4" t="str">
        <f>"戴键华"</f>
        <v>戴键华</v>
      </c>
      <c r="E315" s="4" t="str">
        <f t="shared" si="13"/>
        <v>女</v>
      </c>
    </row>
    <row r="316" spans="1:5" ht="30" customHeight="1">
      <c r="A316" s="4">
        <v>314</v>
      </c>
      <c r="B316" s="4" t="str">
        <f>"39712022060215594485998"</f>
        <v>39712022060215594485998</v>
      </c>
      <c r="C316" s="4" t="s">
        <v>9</v>
      </c>
      <c r="D316" s="4" t="str">
        <f>"陈茜"</f>
        <v>陈茜</v>
      </c>
      <c r="E316" s="4" t="str">
        <f t="shared" si="13"/>
        <v>女</v>
      </c>
    </row>
    <row r="317" spans="1:5" ht="30" customHeight="1">
      <c r="A317" s="4">
        <v>315</v>
      </c>
      <c r="B317" s="4" t="str">
        <f>"39712022060216173386115"</f>
        <v>39712022060216173386115</v>
      </c>
      <c r="C317" s="4" t="s">
        <v>9</v>
      </c>
      <c r="D317" s="4" t="str">
        <f>"王慧"</f>
        <v>王慧</v>
      </c>
      <c r="E317" s="4" t="str">
        <f t="shared" si="13"/>
        <v>女</v>
      </c>
    </row>
    <row r="318" spans="1:5" ht="30" customHeight="1">
      <c r="A318" s="4">
        <v>316</v>
      </c>
      <c r="B318" s="4" t="str">
        <f>"39712022060216563886296"</f>
        <v>39712022060216563886296</v>
      </c>
      <c r="C318" s="4" t="s">
        <v>9</v>
      </c>
      <c r="D318" s="4" t="str">
        <f>"李小健"</f>
        <v>李小健</v>
      </c>
      <c r="E318" s="4" t="str">
        <f t="shared" si="13"/>
        <v>女</v>
      </c>
    </row>
    <row r="319" spans="1:5" ht="30" customHeight="1">
      <c r="A319" s="4">
        <v>317</v>
      </c>
      <c r="B319" s="4" t="str">
        <f>"39712022060217390786491"</f>
        <v>39712022060217390786491</v>
      </c>
      <c r="C319" s="4" t="s">
        <v>9</v>
      </c>
      <c r="D319" s="4" t="str">
        <f>"冯千容"</f>
        <v>冯千容</v>
      </c>
      <c r="E319" s="4" t="str">
        <f t="shared" si="13"/>
        <v>女</v>
      </c>
    </row>
    <row r="320" spans="1:5" ht="30" customHeight="1">
      <c r="A320" s="4">
        <v>318</v>
      </c>
      <c r="B320" s="4" t="str">
        <f>"39712022060218571786752"</f>
        <v>39712022060218571786752</v>
      </c>
      <c r="C320" s="4" t="s">
        <v>9</v>
      </c>
      <c r="D320" s="4" t="str">
        <f>"吴新芬"</f>
        <v>吴新芬</v>
      </c>
      <c r="E320" s="4" t="str">
        <f t="shared" si="13"/>
        <v>女</v>
      </c>
    </row>
    <row r="321" spans="1:5" ht="30" customHeight="1">
      <c r="A321" s="4">
        <v>319</v>
      </c>
      <c r="B321" s="4" t="str">
        <f>"39712022060218574586755"</f>
        <v>39712022060218574586755</v>
      </c>
      <c r="C321" s="4" t="s">
        <v>9</v>
      </c>
      <c r="D321" s="4" t="str">
        <f>"花晨熙"</f>
        <v>花晨熙</v>
      </c>
      <c r="E321" s="4" t="str">
        <f t="shared" si="13"/>
        <v>女</v>
      </c>
    </row>
    <row r="322" spans="1:5" ht="30" customHeight="1">
      <c r="A322" s="4">
        <v>320</v>
      </c>
      <c r="B322" s="4" t="str">
        <f>"39712022060219320186851"</f>
        <v>39712022060219320186851</v>
      </c>
      <c r="C322" s="4" t="s">
        <v>9</v>
      </c>
      <c r="D322" s="4" t="str">
        <f>"唐富芬"</f>
        <v>唐富芬</v>
      </c>
      <c r="E322" s="4" t="str">
        <f t="shared" si="13"/>
        <v>女</v>
      </c>
    </row>
    <row r="323" spans="1:5" ht="30" customHeight="1">
      <c r="A323" s="4">
        <v>321</v>
      </c>
      <c r="B323" s="4" t="str">
        <f>"39712022060220090086952"</f>
        <v>39712022060220090086952</v>
      </c>
      <c r="C323" s="4" t="s">
        <v>9</v>
      </c>
      <c r="D323" s="4" t="str">
        <f>"张琼婧"</f>
        <v>张琼婧</v>
      </c>
      <c r="E323" s="4" t="str">
        <f t="shared" si="13"/>
        <v>女</v>
      </c>
    </row>
    <row r="324" spans="1:5" ht="30" customHeight="1">
      <c r="A324" s="4">
        <v>322</v>
      </c>
      <c r="B324" s="4" t="str">
        <f>"39712022060220520387076"</f>
        <v>39712022060220520387076</v>
      </c>
      <c r="C324" s="4" t="s">
        <v>9</v>
      </c>
      <c r="D324" s="4" t="str">
        <f>"郭思汎"</f>
        <v>郭思汎</v>
      </c>
      <c r="E324" s="4" t="str">
        <f t="shared" si="13"/>
        <v>女</v>
      </c>
    </row>
    <row r="325" spans="1:5" ht="30" customHeight="1">
      <c r="A325" s="4">
        <v>323</v>
      </c>
      <c r="B325" s="4" t="str">
        <f>"39712022060222143187346"</f>
        <v>39712022060222143187346</v>
      </c>
      <c r="C325" s="4" t="s">
        <v>9</v>
      </c>
      <c r="D325" s="4" t="str">
        <f>"陈未"</f>
        <v>陈未</v>
      </c>
      <c r="E325" s="4" t="str">
        <f t="shared" si="13"/>
        <v>女</v>
      </c>
    </row>
    <row r="326" spans="1:5" ht="30" customHeight="1">
      <c r="A326" s="4">
        <v>324</v>
      </c>
      <c r="B326" s="4" t="str">
        <f>"39712022060222453287461"</f>
        <v>39712022060222453287461</v>
      </c>
      <c r="C326" s="4" t="s">
        <v>9</v>
      </c>
      <c r="D326" s="4" t="str">
        <f>"林思桃"</f>
        <v>林思桃</v>
      </c>
      <c r="E326" s="4" t="str">
        <f t="shared" si="13"/>
        <v>女</v>
      </c>
    </row>
    <row r="327" spans="1:5" ht="30" customHeight="1">
      <c r="A327" s="4">
        <v>325</v>
      </c>
      <c r="B327" s="4" t="str">
        <f>"39712022060223214387527"</f>
        <v>39712022060223214387527</v>
      </c>
      <c r="C327" s="4" t="s">
        <v>9</v>
      </c>
      <c r="D327" s="4" t="str">
        <f>"彭靖懿"</f>
        <v>彭靖懿</v>
      </c>
      <c r="E327" s="4" t="str">
        <f t="shared" si="13"/>
        <v>女</v>
      </c>
    </row>
    <row r="328" spans="1:5" ht="30" customHeight="1">
      <c r="A328" s="4">
        <v>326</v>
      </c>
      <c r="B328" s="4" t="str">
        <f>"39712022060311014887815"</f>
        <v>39712022060311014887815</v>
      </c>
      <c r="C328" s="4" t="s">
        <v>9</v>
      </c>
      <c r="D328" s="4" t="str">
        <f>"庄烨"</f>
        <v>庄烨</v>
      </c>
      <c r="E328" s="4" t="str">
        <f t="shared" si="13"/>
        <v>女</v>
      </c>
    </row>
    <row r="329" spans="1:5" ht="30" customHeight="1">
      <c r="A329" s="4">
        <v>327</v>
      </c>
      <c r="B329" s="4" t="str">
        <f>"39712022060311253787843"</f>
        <v>39712022060311253787843</v>
      </c>
      <c r="C329" s="4" t="s">
        <v>9</v>
      </c>
      <c r="D329" s="4" t="str">
        <f>"蒲石妹"</f>
        <v>蒲石妹</v>
      </c>
      <c r="E329" s="4" t="str">
        <f t="shared" si="13"/>
        <v>女</v>
      </c>
    </row>
    <row r="330" spans="1:5" ht="30" customHeight="1">
      <c r="A330" s="4">
        <v>328</v>
      </c>
      <c r="B330" s="4" t="str">
        <f>"39712022060311441487866"</f>
        <v>39712022060311441487866</v>
      </c>
      <c r="C330" s="4" t="s">
        <v>9</v>
      </c>
      <c r="D330" s="4" t="str">
        <f>"刘卓男"</f>
        <v>刘卓男</v>
      </c>
      <c r="E330" s="4" t="str">
        <f t="shared" si="13"/>
        <v>女</v>
      </c>
    </row>
    <row r="331" spans="1:5" ht="30" customHeight="1">
      <c r="A331" s="4">
        <v>329</v>
      </c>
      <c r="B331" s="4" t="str">
        <f>"39712022060312013587885"</f>
        <v>39712022060312013587885</v>
      </c>
      <c r="C331" s="4" t="s">
        <v>9</v>
      </c>
      <c r="D331" s="4" t="str">
        <f>"吴英妹"</f>
        <v>吴英妹</v>
      </c>
      <c r="E331" s="4" t="str">
        <f t="shared" si="13"/>
        <v>女</v>
      </c>
    </row>
    <row r="332" spans="1:5" ht="30" customHeight="1">
      <c r="A332" s="4">
        <v>330</v>
      </c>
      <c r="B332" s="4" t="str">
        <f>"39712022060313474187985"</f>
        <v>39712022060313474187985</v>
      </c>
      <c r="C332" s="4" t="s">
        <v>9</v>
      </c>
      <c r="D332" s="4" t="str">
        <f>"殷丽"</f>
        <v>殷丽</v>
      </c>
      <c r="E332" s="4" t="str">
        <f t="shared" si="13"/>
        <v>女</v>
      </c>
    </row>
    <row r="333" spans="1:5" ht="30" customHeight="1">
      <c r="A333" s="4">
        <v>331</v>
      </c>
      <c r="B333" s="4" t="str">
        <f>"39712022060316502988145"</f>
        <v>39712022060316502988145</v>
      </c>
      <c r="C333" s="4" t="s">
        <v>9</v>
      </c>
      <c r="D333" s="4" t="str">
        <f>"罗怡蝶"</f>
        <v>罗怡蝶</v>
      </c>
      <c r="E333" s="4" t="str">
        <f>"女"</f>
        <v>女</v>
      </c>
    </row>
    <row r="334" spans="1:5" ht="30" customHeight="1">
      <c r="A334" s="4">
        <v>332</v>
      </c>
      <c r="B334" s="4" t="str">
        <f>"39712022060317105688167"</f>
        <v>39712022060317105688167</v>
      </c>
      <c r="C334" s="4" t="s">
        <v>9</v>
      </c>
      <c r="D334" s="4" t="str">
        <f>"翁灿灿"</f>
        <v>翁灿灿</v>
      </c>
      <c r="E334" s="4" t="str">
        <f>"女"</f>
        <v>女</v>
      </c>
    </row>
    <row r="335" spans="1:5" ht="30" customHeight="1">
      <c r="A335" s="4">
        <v>333</v>
      </c>
      <c r="B335" s="4" t="str">
        <f>"39712022060318394288244"</f>
        <v>39712022060318394288244</v>
      </c>
      <c r="C335" s="4" t="s">
        <v>9</v>
      </c>
      <c r="D335" s="4" t="str">
        <f>"冯慧琴"</f>
        <v>冯慧琴</v>
      </c>
      <c r="E335" s="4" t="str">
        <f>"女"</f>
        <v>女</v>
      </c>
    </row>
    <row r="336" spans="1:5" ht="30" customHeight="1">
      <c r="A336" s="4">
        <v>334</v>
      </c>
      <c r="B336" s="4" t="str">
        <f>"39712022060318414888247"</f>
        <v>39712022060318414888247</v>
      </c>
      <c r="C336" s="4" t="s">
        <v>9</v>
      </c>
      <c r="D336" s="4" t="str">
        <f>"李春菊"</f>
        <v>李春菊</v>
      </c>
      <c r="E336" s="4" t="str">
        <f>"女"</f>
        <v>女</v>
      </c>
    </row>
    <row r="337" spans="1:5" ht="30" customHeight="1">
      <c r="A337" s="4">
        <v>335</v>
      </c>
      <c r="B337" s="4" t="str">
        <f>"39712022060318492688259"</f>
        <v>39712022060318492688259</v>
      </c>
      <c r="C337" s="4" t="s">
        <v>9</v>
      </c>
      <c r="D337" s="4" t="str">
        <f>"杨冬雪"</f>
        <v>杨冬雪</v>
      </c>
      <c r="E337" s="4" t="str">
        <f>"女"</f>
        <v>女</v>
      </c>
    </row>
    <row r="338" spans="1:5" ht="30" customHeight="1">
      <c r="A338" s="4">
        <v>336</v>
      </c>
      <c r="B338" s="4" t="str">
        <f>"39712022060321041988378"</f>
        <v>39712022060321041988378</v>
      </c>
      <c r="C338" s="4" t="s">
        <v>9</v>
      </c>
      <c r="D338" s="4" t="str">
        <f>"纪鹏程"</f>
        <v>纪鹏程</v>
      </c>
      <c r="E338" s="4" t="str">
        <f>"男"</f>
        <v>男</v>
      </c>
    </row>
    <row r="339" spans="1:5" ht="30" customHeight="1">
      <c r="A339" s="4">
        <v>337</v>
      </c>
      <c r="B339" s="4" t="str">
        <f>"39712022060321573588443"</f>
        <v>39712022060321573588443</v>
      </c>
      <c r="C339" s="4" t="s">
        <v>9</v>
      </c>
      <c r="D339" s="4" t="str">
        <f>"周昆"</f>
        <v>周昆</v>
      </c>
      <c r="E339" s="4" t="str">
        <f aca="true" t="shared" si="14" ref="E339:E358">"女"</f>
        <v>女</v>
      </c>
    </row>
    <row r="340" spans="1:5" ht="30" customHeight="1">
      <c r="A340" s="4">
        <v>338</v>
      </c>
      <c r="B340" s="4" t="str">
        <f>"39712022060322240988469"</f>
        <v>39712022060322240988469</v>
      </c>
      <c r="C340" s="4" t="s">
        <v>9</v>
      </c>
      <c r="D340" s="4" t="str">
        <f>"陈晓倪"</f>
        <v>陈晓倪</v>
      </c>
      <c r="E340" s="4" t="str">
        <f t="shared" si="14"/>
        <v>女</v>
      </c>
    </row>
    <row r="341" spans="1:5" ht="30" customHeight="1">
      <c r="A341" s="4">
        <v>339</v>
      </c>
      <c r="B341" s="4" t="str">
        <f>"39712022060322413488490"</f>
        <v>39712022060322413488490</v>
      </c>
      <c r="C341" s="4" t="s">
        <v>9</v>
      </c>
      <c r="D341" s="4" t="str">
        <f>"陈朝"</f>
        <v>陈朝</v>
      </c>
      <c r="E341" s="4" t="str">
        <f t="shared" si="14"/>
        <v>女</v>
      </c>
    </row>
    <row r="342" spans="1:5" ht="30" customHeight="1">
      <c r="A342" s="4">
        <v>340</v>
      </c>
      <c r="B342" s="4" t="str">
        <f>"39712022060323064588514"</f>
        <v>39712022060323064588514</v>
      </c>
      <c r="C342" s="4" t="s">
        <v>9</v>
      </c>
      <c r="D342" s="4" t="str">
        <f>"卢晶晶"</f>
        <v>卢晶晶</v>
      </c>
      <c r="E342" s="4" t="str">
        <f t="shared" si="14"/>
        <v>女</v>
      </c>
    </row>
    <row r="343" spans="1:5" ht="30" customHeight="1">
      <c r="A343" s="4">
        <v>341</v>
      </c>
      <c r="B343" s="4" t="str">
        <f>"39712022060323421288536"</f>
        <v>39712022060323421288536</v>
      </c>
      <c r="C343" s="4" t="s">
        <v>9</v>
      </c>
      <c r="D343" s="4" t="str">
        <f>"胡丽荟"</f>
        <v>胡丽荟</v>
      </c>
      <c r="E343" s="4" t="str">
        <f t="shared" si="14"/>
        <v>女</v>
      </c>
    </row>
    <row r="344" spans="1:5" ht="30" customHeight="1">
      <c r="A344" s="4">
        <v>342</v>
      </c>
      <c r="B344" s="4" t="str">
        <f>"39712022060400021988546"</f>
        <v>39712022060400021988546</v>
      </c>
      <c r="C344" s="4" t="s">
        <v>9</v>
      </c>
      <c r="D344" s="4" t="str">
        <f>"羊香梅"</f>
        <v>羊香梅</v>
      </c>
      <c r="E344" s="4" t="str">
        <f t="shared" si="14"/>
        <v>女</v>
      </c>
    </row>
    <row r="345" spans="1:5" ht="30" customHeight="1">
      <c r="A345" s="4">
        <v>343</v>
      </c>
      <c r="B345" s="4" t="str">
        <f>"39712022060408411488612"</f>
        <v>39712022060408411488612</v>
      </c>
      <c r="C345" s="4" t="s">
        <v>9</v>
      </c>
      <c r="D345" s="4" t="str">
        <f>"代睿霖"</f>
        <v>代睿霖</v>
      </c>
      <c r="E345" s="4" t="str">
        <f t="shared" si="14"/>
        <v>女</v>
      </c>
    </row>
    <row r="346" spans="1:5" ht="30" customHeight="1">
      <c r="A346" s="4">
        <v>344</v>
      </c>
      <c r="B346" s="4" t="str">
        <f>"39712022060409120688630"</f>
        <v>39712022060409120688630</v>
      </c>
      <c r="C346" s="4" t="s">
        <v>9</v>
      </c>
      <c r="D346" s="4" t="str">
        <f>"刁硕"</f>
        <v>刁硕</v>
      </c>
      <c r="E346" s="4" t="str">
        <f t="shared" si="14"/>
        <v>女</v>
      </c>
    </row>
    <row r="347" spans="1:5" ht="30" customHeight="1">
      <c r="A347" s="4">
        <v>345</v>
      </c>
      <c r="B347" s="4" t="str">
        <f>"39712022060410010788678"</f>
        <v>39712022060410010788678</v>
      </c>
      <c r="C347" s="4" t="s">
        <v>9</v>
      </c>
      <c r="D347" s="4" t="str">
        <f>"文秀敏"</f>
        <v>文秀敏</v>
      </c>
      <c r="E347" s="4" t="str">
        <f t="shared" si="14"/>
        <v>女</v>
      </c>
    </row>
    <row r="348" spans="1:5" ht="30" customHeight="1">
      <c r="A348" s="4">
        <v>346</v>
      </c>
      <c r="B348" s="4" t="str">
        <f>"39712022060410321888722"</f>
        <v>39712022060410321888722</v>
      </c>
      <c r="C348" s="4" t="s">
        <v>9</v>
      </c>
      <c r="D348" s="4" t="str">
        <f>"谭丽莉"</f>
        <v>谭丽莉</v>
      </c>
      <c r="E348" s="4" t="str">
        <f t="shared" si="14"/>
        <v>女</v>
      </c>
    </row>
    <row r="349" spans="1:5" ht="30" customHeight="1">
      <c r="A349" s="4">
        <v>347</v>
      </c>
      <c r="B349" s="4" t="str">
        <f>"39712022060412051888843"</f>
        <v>39712022060412051888843</v>
      </c>
      <c r="C349" s="4" t="s">
        <v>9</v>
      </c>
      <c r="D349" s="4" t="str">
        <f>"方立婷"</f>
        <v>方立婷</v>
      </c>
      <c r="E349" s="4" t="str">
        <f t="shared" si="14"/>
        <v>女</v>
      </c>
    </row>
    <row r="350" spans="1:5" ht="30" customHeight="1">
      <c r="A350" s="4">
        <v>348</v>
      </c>
      <c r="B350" s="4" t="str">
        <f>"39712022060412195788851"</f>
        <v>39712022060412195788851</v>
      </c>
      <c r="C350" s="4" t="s">
        <v>9</v>
      </c>
      <c r="D350" s="4" t="str">
        <f>"罗金如"</f>
        <v>罗金如</v>
      </c>
      <c r="E350" s="4" t="str">
        <f t="shared" si="14"/>
        <v>女</v>
      </c>
    </row>
    <row r="351" spans="1:5" ht="30" customHeight="1">
      <c r="A351" s="4">
        <v>349</v>
      </c>
      <c r="B351" s="4" t="str">
        <f>"39712022060412512088889"</f>
        <v>39712022060412512088889</v>
      </c>
      <c r="C351" s="4" t="s">
        <v>9</v>
      </c>
      <c r="D351" s="4" t="str">
        <f>"林丹丹"</f>
        <v>林丹丹</v>
      </c>
      <c r="E351" s="4" t="str">
        <f t="shared" si="14"/>
        <v>女</v>
      </c>
    </row>
    <row r="352" spans="1:5" ht="30" customHeight="1">
      <c r="A352" s="4">
        <v>350</v>
      </c>
      <c r="B352" s="4" t="str">
        <f>"39712022060413155088910"</f>
        <v>39712022060413155088910</v>
      </c>
      <c r="C352" s="4" t="s">
        <v>9</v>
      </c>
      <c r="D352" s="4" t="str">
        <f>"王俊娜"</f>
        <v>王俊娜</v>
      </c>
      <c r="E352" s="4" t="str">
        <f t="shared" si="14"/>
        <v>女</v>
      </c>
    </row>
    <row r="353" spans="1:5" ht="30" customHeight="1">
      <c r="A353" s="4">
        <v>351</v>
      </c>
      <c r="B353" s="4" t="str">
        <f>"39712022060413484688930"</f>
        <v>39712022060413484688930</v>
      </c>
      <c r="C353" s="4" t="s">
        <v>9</v>
      </c>
      <c r="D353" s="4" t="str">
        <f>"邢棠棠"</f>
        <v>邢棠棠</v>
      </c>
      <c r="E353" s="4" t="str">
        <f t="shared" si="14"/>
        <v>女</v>
      </c>
    </row>
    <row r="354" spans="1:5" ht="30" customHeight="1">
      <c r="A354" s="4">
        <v>352</v>
      </c>
      <c r="B354" s="4" t="str">
        <f>"39712022060415003188997"</f>
        <v>39712022060415003188997</v>
      </c>
      <c r="C354" s="4" t="s">
        <v>9</v>
      </c>
      <c r="D354" s="4" t="str">
        <f>"娄溪悦"</f>
        <v>娄溪悦</v>
      </c>
      <c r="E354" s="4" t="str">
        <f t="shared" si="14"/>
        <v>女</v>
      </c>
    </row>
    <row r="355" spans="1:5" ht="30" customHeight="1">
      <c r="A355" s="4">
        <v>353</v>
      </c>
      <c r="B355" s="4" t="str">
        <f>"39712022060416285189093"</f>
        <v>39712022060416285189093</v>
      </c>
      <c r="C355" s="4" t="s">
        <v>9</v>
      </c>
      <c r="D355" s="4" t="str">
        <f>"王凌宇"</f>
        <v>王凌宇</v>
      </c>
      <c r="E355" s="4" t="str">
        <f t="shared" si="14"/>
        <v>女</v>
      </c>
    </row>
    <row r="356" spans="1:5" ht="30" customHeight="1">
      <c r="A356" s="4">
        <v>354</v>
      </c>
      <c r="B356" s="4" t="str">
        <f>"39712022060418255989210"</f>
        <v>39712022060418255989210</v>
      </c>
      <c r="C356" s="4" t="s">
        <v>9</v>
      </c>
      <c r="D356" s="4" t="str">
        <f>"黄云腾"</f>
        <v>黄云腾</v>
      </c>
      <c r="E356" s="4" t="str">
        <f t="shared" si="14"/>
        <v>女</v>
      </c>
    </row>
    <row r="357" spans="1:5" ht="30" customHeight="1">
      <c r="A357" s="4">
        <v>355</v>
      </c>
      <c r="B357" s="4" t="str">
        <f>"39712022060420505189345"</f>
        <v>39712022060420505189345</v>
      </c>
      <c r="C357" s="4" t="s">
        <v>9</v>
      </c>
      <c r="D357" s="4" t="str">
        <f>"黄群"</f>
        <v>黄群</v>
      </c>
      <c r="E357" s="4" t="str">
        <f t="shared" si="14"/>
        <v>女</v>
      </c>
    </row>
    <row r="358" spans="1:5" ht="30" customHeight="1">
      <c r="A358" s="4">
        <v>356</v>
      </c>
      <c r="B358" s="4" t="str">
        <f>"39712022060421130489378"</f>
        <v>39712022060421130489378</v>
      </c>
      <c r="C358" s="4" t="s">
        <v>9</v>
      </c>
      <c r="D358" s="4" t="str">
        <f>"陈碧惠"</f>
        <v>陈碧惠</v>
      </c>
      <c r="E358" s="4" t="str">
        <f t="shared" si="14"/>
        <v>女</v>
      </c>
    </row>
    <row r="359" spans="1:5" ht="30" customHeight="1">
      <c r="A359" s="4">
        <v>357</v>
      </c>
      <c r="B359" s="4" t="str">
        <f>"39712022060422035989425"</f>
        <v>39712022060422035989425</v>
      </c>
      <c r="C359" s="4" t="s">
        <v>9</v>
      </c>
      <c r="D359" s="4" t="str">
        <f>"王康睿"</f>
        <v>王康睿</v>
      </c>
      <c r="E359" s="4" t="str">
        <f>"男"</f>
        <v>男</v>
      </c>
    </row>
    <row r="360" spans="1:5" ht="30" customHeight="1">
      <c r="A360" s="4">
        <v>358</v>
      </c>
      <c r="B360" s="4" t="str">
        <f>"39712022060423032989494"</f>
        <v>39712022060423032989494</v>
      </c>
      <c r="C360" s="4" t="s">
        <v>9</v>
      </c>
      <c r="D360" s="4" t="str">
        <f>"史欣欣"</f>
        <v>史欣欣</v>
      </c>
      <c r="E360" s="4" t="str">
        <f>"女"</f>
        <v>女</v>
      </c>
    </row>
    <row r="361" spans="1:5" ht="30" customHeight="1">
      <c r="A361" s="4">
        <v>359</v>
      </c>
      <c r="B361" s="4" t="str">
        <f>"39712022060423213489515"</f>
        <v>39712022060423213489515</v>
      </c>
      <c r="C361" s="4" t="s">
        <v>9</v>
      </c>
      <c r="D361" s="4" t="str">
        <f>"郭奕彤"</f>
        <v>郭奕彤</v>
      </c>
      <c r="E361" s="4" t="str">
        <f>"女"</f>
        <v>女</v>
      </c>
    </row>
    <row r="362" spans="1:5" ht="30" customHeight="1">
      <c r="A362" s="4">
        <v>360</v>
      </c>
      <c r="B362" s="4" t="str">
        <f>"39712022060500143689556"</f>
        <v>39712022060500143689556</v>
      </c>
      <c r="C362" s="4" t="s">
        <v>9</v>
      </c>
      <c r="D362" s="4" t="str">
        <f>"吉才伦"</f>
        <v>吉才伦</v>
      </c>
      <c r="E362" s="4" t="str">
        <f>"女"</f>
        <v>女</v>
      </c>
    </row>
    <row r="363" spans="1:5" ht="30" customHeight="1">
      <c r="A363" s="4">
        <v>361</v>
      </c>
      <c r="B363" s="4" t="str">
        <f>"39712022060500154689558"</f>
        <v>39712022060500154689558</v>
      </c>
      <c r="C363" s="4" t="s">
        <v>9</v>
      </c>
      <c r="D363" s="4" t="str">
        <f>"贾姗姗"</f>
        <v>贾姗姗</v>
      </c>
      <c r="E363" s="4" t="str">
        <f>"女"</f>
        <v>女</v>
      </c>
    </row>
    <row r="364" spans="1:5" ht="30" customHeight="1">
      <c r="A364" s="4">
        <v>362</v>
      </c>
      <c r="B364" s="4" t="str">
        <f>"39712022060505493589578"</f>
        <v>39712022060505493589578</v>
      </c>
      <c r="C364" s="4" t="s">
        <v>9</v>
      </c>
      <c r="D364" s="4" t="str">
        <f>"刘明昕"</f>
        <v>刘明昕</v>
      </c>
      <c r="E364" s="4" t="str">
        <f>"女"</f>
        <v>女</v>
      </c>
    </row>
    <row r="365" spans="1:5" ht="30" customHeight="1">
      <c r="A365" s="4">
        <v>363</v>
      </c>
      <c r="B365" s="4" t="str">
        <f>"39712022060506344289579"</f>
        <v>39712022060506344289579</v>
      </c>
      <c r="C365" s="4" t="s">
        <v>9</v>
      </c>
      <c r="D365" s="4" t="str">
        <f>"莫学友"</f>
        <v>莫学友</v>
      </c>
      <c r="E365" s="4" t="str">
        <f>"男"</f>
        <v>男</v>
      </c>
    </row>
    <row r="366" spans="1:5" ht="30" customHeight="1">
      <c r="A366" s="4">
        <v>364</v>
      </c>
      <c r="B366" s="4" t="str">
        <f>"39712022060509175089645"</f>
        <v>39712022060509175089645</v>
      </c>
      <c r="C366" s="4" t="s">
        <v>9</v>
      </c>
      <c r="D366" s="4" t="str">
        <f>"郭飞怡"</f>
        <v>郭飞怡</v>
      </c>
      <c r="E366" s="4" t="str">
        <f aca="true" t="shared" si="15" ref="E366:E379">"女"</f>
        <v>女</v>
      </c>
    </row>
    <row r="367" spans="1:5" ht="30" customHeight="1">
      <c r="A367" s="4">
        <v>365</v>
      </c>
      <c r="B367" s="4" t="str">
        <f>"39712022060509443789689"</f>
        <v>39712022060509443789689</v>
      </c>
      <c r="C367" s="4" t="s">
        <v>9</v>
      </c>
      <c r="D367" s="4" t="str">
        <f>"杨凯兰"</f>
        <v>杨凯兰</v>
      </c>
      <c r="E367" s="4" t="str">
        <f t="shared" si="15"/>
        <v>女</v>
      </c>
    </row>
    <row r="368" spans="1:5" ht="30" customHeight="1">
      <c r="A368" s="4">
        <v>366</v>
      </c>
      <c r="B368" s="4" t="str">
        <f>"39712022060511244089882"</f>
        <v>39712022060511244089882</v>
      </c>
      <c r="C368" s="4" t="s">
        <v>9</v>
      </c>
      <c r="D368" s="4" t="str">
        <f>"张珍翠"</f>
        <v>张珍翠</v>
      </c>
      <c r="E368" s="4" t="str">
        <f t="shared" si="15"/>
        <v>女</v>
      </c>
    </row>
    <row r="369" spans="1:5" ht="30" customHeight="1">
      <c r="A369" s="4">
        <v>367</v>
      </c>
      <c r="B369" s="4" t="str">
        <f>"39712022060511292489891"</f>
        <v>39712022060511292489891</v>
      </c>
      <c r="C369" s="4" t="s">
        <v>9</v>
      </c>
      <c r="D369" s="4" t="str">
        <f>"蔡庆萍"</f>
        <v>蔡庆萍</v>
      </c>
      <c r="E369" s="4" t="str">
        <f t="shared" si="15"/>
        <v>女</v>
      </c>
    </row>
    <row r="370" spans="1:5" ht="30" customHeight="1">
      <c r="A370" s="4">
        <v>368</v>
      </c>
      <c r="B370" s="4" t="str">
        <f>"39712022060511513689931"</f>
        <v>39712022060511513689931</v>
      </c>
      <c r="C370" s="4" t="s">
        <v>9</v>
      </c>
      <c r="D370" s="4" t="str">
        <f>"陈昕南"</f>
        <v>陈昕南</v>
      </c>
      <c r="E370" s="4" t="str">
        <f t="shared" si="15"/>
        <v>女</v>
      </c>
    </row>
    <row r="371" spans="1:5" ht="30" customHeight="1">
      <c r="A371" s="4">
        <v>369</v>
      </c>
      <c r="B371" s="4" t="str">
        <f>"39712022060512091389958"</f>
        <v>39712022060512091389958</v>
      </c>
      <c r="C371" s="4" t="s">
        <v>9</v>
      </c>
      <c r="D371" s="4" t="str">
        <f>"林珍"</f>
        <v>林珍</v>
      </c>
      <c r="E371" s="4" t="str">
        <f t="shared" si="15"/>
        <v>女</v>
      </c>
    </row>
    <row r="372" spans="1:5" ht="30" customHeight="1">
      <c r="A372" s="4">
        <v>370</v>
      </c>
      <c r="B372" s="4" t="str">
        <f>"39712022060512381589991"</f>
        <v>39712022060512381589991</v>
      </c>
      <c r="C372" s="4" t="s">
        <v>9</v>
      </c>
      <c r="D372" s="4" t="str">
        <f>"谭玉容"</f>
        <v>谭玉容</v>
      </c>
      <c r="E372" s="4" t="str">
        <f t="shared" si="15"/>
        <v>女</v>
      </c>
    </row>
    <row r="373" spans="1:5" ht="30" customHeight="1">
      <c r="A373" s="4">
        <v>371</v>
      </c>
      <c r="B373" s="4" t="str">
        <f>"39712022060513360490061"</f>
        <v>39712022060513360490061</v>
      </c>
      <c r="C373" s="4" t="s">
        <v>9</v>
      </c>
      <c r="D373" s="4" t="str">
        <f>"李晓莹"</f>
        <v>李晓莹</v>
      </c>
      <c r="E373" s="4" t="str">
        <f t="shared" si="15"/>
        <v>女</v>
      </c>
    </row>
    <row r="374" spans="1:5" ht="30" customHeight="1">
      <c r="A374" s="4">
        <v>372</v>
      </c>
      <c r="B374" s="4" t="str">
        <f>"39712022060515011090160"</f>
        <v>39712022060515011090160</v>
      </c>
      <c r="C374" s="4" t="s">
        <v>9</v>
      </c>
      <c r="D374" s="4" t="str">
        <f>"吴绮萱"</f>
        <v>吴绮萱</v>
      </c>
      <c r="E374" s="4" t="str">
        <f t="shared" si="15"/>
        <v>女</v>
      </c>
    </row>
    <row r="375" spans="1:5" ht="30" customHeight="1">
      <c r="A375" s="4">
        <v>373</v>
      </c>
      <c r="B375" s="4" t="str">
        <f>"39712022060515401290205"</f>
        <v>39712022060515401290205</v>
      </c>
      <c r="C375" s="4" t="s">
        <v>9</v>
      </c>
      <c r="D375" s="4" t="str">
        <f>"邓奇英"</f>
        <v>邓奇英</v>
      </c>
      <c r="E375" s="4" t="str">
        <f t="shared" si="15"/>
        <v>女</v>
      </c>
    </row>
    <row r="376" spans="1:5" ht="30" customHeight="1">
      <c r="A376" s="4">
        <v>374</v>
      </c>
      <c r="B376" s="4" t="str">
        <f>"39712022060519583590562"</f>
        <v>39712022060519583590562</v>
      </c>
      <c r="C376" s="4" t="s">
        <v>9</v>
      </c>
      <c r="D376" s="4" t="str">
        <f>"邢亚丽"</f>
        <v>邢亚丽</v>
      </c>
      <c r="E376" s="4" t="str">
        <f t="shared" si="15"/>
        <v>女</v>
      </c>
    </row>
    <row r="377" spans="1:5" ht="30" customHeight="1">
      <c r="A377" s="4">
        <v>375</v>
      </c>
      <c r="B377" s="4" t="str">
        <f>"39712022060520251390602"</f>
        <v>39712022060520251390602</v>
      </c>
      <c r="C377" s="4" t="s">
        <v>9</v>
      </c>
      <c r="D377" s="4" t="str">
        <f>"孟泽镜"</f>
        <v>孟泽镜</v>
      </c>
      <c r="E377" s="4" t="str">
        <f t="shared" si="15"/>
        <v>女</v>
      </c>
    </row>
    <row r="378" spans="1:5" ht="30" customHeight="1">
      <c r="A378" s="4">
        <v>376</v>
      </c>
      <c r="B378" s="4" t="str">
        <f>"39712022060520464190625"</f>
        <v>39712022060520464190625</v>
      </c>
      <c r="C378" s="4" t="s">
        <v>9</v>
      </c>
      <c r="D378" s="4" t="str">
        <f>"薛贤彩"</f>
        <v>薛贤彩</v>
      </c>
      <c r="E378" s="4" t="str">
        <f t="shared" si="15"/>
        <v>女</v>
      </c>
    </row>
    <row r="379" spans="1:5" ht="30" customHeight="1">
      <c r="A379" s="4">
        <v>377</v>
      </c>
      <c r="B379" s="4" t="str">
        <f>"39712022060520525990632"</f>
        <v>39712022060520525990632</v>
      </c>
      <c r="C379" s="4" t="s">
        <v>9</v>
      </c>
      <c r="D379" s="4" t="str">
        <f>"齐媛"</f>
        <v>齐媛</v>
      </c>
      <c r="E379" s="4" t="str">
        <f t="shared" si="15"/>
        <v>女</v>
      </c>
    </row>
    <row r="380" spans="1:5" ht="30" customHeight="1">
      <c r="A380" s="4">
        <v>378</v>
      </c>
      <c r="B380" s="4" t="str">
        <f>"39712022060522281690861"</f>
        <v>39712022060522281690861</v>
      </c>
      <c r="C380" s="4" t="s">
        <v>9</v>
      </c>
      <c r="D380" s="4" t="str">
        <f>"陈柔"</f>
        <v>陈柔</v>
      </c>
      <c r="E380" s="4" t="s">
        <v>10</v>
      </c>
    </row>
    <row r="381" spans="1:5" ht="30" customHeight="1">
      <c r="A381" s="4">
        <v>379</v>
      </c>
      <c r="B381" s="4" t="str">
        <f>"39712022060523505890973"</f>
        <v>39712022060523505890973</v>
      </c>
      <c r="C381" s="4" t="s">
        <v>9</v>
      </c>
      <c r="D381" s="4" t="str">
        <f>"文金璐"</f>
        <v>文金璐</v>
      </c>
      <c r="E381" s="4" t="str">
        <f aca="true" t="shared" si="16" ref="E381:E403">"女"</f>
        <v>女</v>
      </c>
    </row>
    <row r="382" spans="1:5" ht="30" customHeight="1">
      <c r="A382" s="4">
        <v>380</v>
      </c>
      <c r="B382" s="4" t="str">
        <f>"39712022060600281090995"</f>
        <v>39712022060600281090995</v>
      </c>
      <c r="C382" s="4" t="s">
        <v>9</v>
      </c>
      <c r="D382" s="4" t="str">
        <f>"田丽丝"</f>
        <v>田丽丝</v>
      </c>
      <c r="E382" s="4" t="str">
        <f t="shared" si="16"/>
        <v>女</v>
      </c>
    </row>
    <row r="383" spans="1:5" ht="30" customHeight="1">
      <c r="A383" s="4">
        <v>381</v>
      </c>
      <c r="B383" s="4" t="str">
        <f>"39712022060609582993121"</f>
        <v>39712022060609582993121</v>
      </c>
      <c r="C383" s="4" t="s">
        <v>9</v>
      </c>
      <c r="D383" s="4" t="str">
        <f>"陈奕瑶"</f>
        <v>陈奕瑶</v>
      </c>
      <c r="E383" s="4" t="str">
        <f t="shared" si="16"/>
        <v>女</v>
      </c>
    </row>
    <row r="384" spans="1:5" ht="30" customHeight="1">
      <c r="A384" s="4">
        <v>382</v>
      </c>
      <c r="B384" s="4" t="str">
        <f>"39712022060610192693635"</f>
        <v>39712022060610192693635</v>
      </c>
      <c r="C384" s="4" t="s">
        <v>9</v>
      </c>
      <c r="D384" s="4" t="str">
        <f>"徐周"</f>
        <v>徐周</v>
      </c>
      <c r="E384" s="4" t="str">
        <f t="shared" si="16"/>
        <v>女</v>
      </c>
    </row>
    <row r="385" spans="1:5" ht="30" customHeight="1">
      <c r="A385" s="4">
        <v>383</v>
      </c>
      <c r="B385" s="4" t="str">
        <f>"39712022060611054894723"</f>
        <v>39712022060611054894723</v>
      </c>
      <c r="C385" s="4" t="s">
        <v>9</v>
      </c>
      <c r="D385" s="4" t="str">
        <f>"陈妹莹"</f>
        <v>陈妹莹</v>
      </c>
      <c r="E385" s="4" t="str">
        <f t="shared" si="16"/>
        <v>女</v>
      </c>
    </row>
    <row r="386" spans="1:5" ht="30" customHeight="1">
      <c r="A386" s="4">
        <v>384</v>
      </c>
      <c r="B386" s="4" t="str">
        <f>"39712022060611300895171"</f>
        <v>39712022060611300895171</v>
      </c>
      <c r="C386" s="4" t="s">
        <v>9</v>
      </c>
      <c r="D386" s="4" t="str">
        <f>"张宜青"</f>
        <v>张宜青</v>
      </c>
      <c r="E386" s="4" t="str">
        <f t="shared" si="16"/>
        <v>女</v>
      </c>
    </row>
    <row r="387" spans="1:5" ht="30" customHeight="1">
      <c r="A387" s="4">
        <v>385</v>
      </c>
      <c r="B387" s="4" t="str">
        <f>"39712022060612442796177"</f>
        <v>39712022060612442796177</v>
      </c>
      <c r="C387" s="4" t="s">
        <v>9</v>
      </c>
      <c r="D387" s="4" t="str">
        <f>"曾丽芳"</f>
        <v>曾丽芳</v>
      </c>
      <c r="E387" s="4" t="str">
        <f t="shared" si="16"/>
        <v>女</v>
      </c>
    </row>
    <row r="388" spans="1:5" ht="30" customHeight="1">
      <c r="A388" s="4">
        <v>386</v>
      </c>
      <c r="B388" s="4" t="str">
        <f>"39712022060613080996417"</f>
        <v>39712022060613080996417</v>
      </c>
      <c r="C388" s="4" t="s">
        <v>9</v>
      </c>
      <c r="D388" s="4" t="str">
        <f>"邢雯雯"</f>
        <v>邢雯雯</v>
      </c>
      <c r="E388" s="4" t="str">
        <f t="shared" si="16"/>
        <v>女</v>
      </c>
    </row>
    <row r="389" spans="1:5" ht="30" customHeight="1">
      <c r="A389" s="4">
        <v>387</v>
      </c>
      <c r="B389" s="4" t="str">
        <f>"39712022060615312197922"</f>
        <v>39712022060615312197922</v>
      </c>
      <c r="C389" s="4" t="s">
        <v>9</v>
      </c>
      <c r="D389" s="4" t="str">
        <f>"周青学"</f>
        <v>周青学</v>
      </c>
      <c r="E389" s="4" t="str">
        <f t="shared" si="16"/>
        <v>女</v>
      </c>
    </row>
    <row r="390" spans="1:5" ht="30" customHeight="1">
      <c r="A390" s="4">
        <v>388</v>
      </c>
      <c r="B390" s="4" t="str">
        <f>"39712022060615543998249"</f>
        <v>39712022060615543998249</v>
      </c>
      <c r="C390" s="4" t="s">
        <v>9</v>
      </c>
      <c r="D390" s="4" t="str">
        <f>"符晴霞"</f>
        <v>符晴霞</v>
      </c>
      <c r="E390" s="4" t="str">
        <f t="shared" si="16"/>
        <v>女</v>
      </c>
    </row>
    <row r="391" spans="1:5" ht="30" customHeight="1">
      <c r="A391" s="4">
        <v>389</v>
      </c>
      <c r="B391" s="4" t="str">
        <f>"39712022060616133998509"</f>
        <v>39712022060616133998509</v>
      </c>
      <c r="C391" s="4" t="s">
        <v>9</v>
      </c>
      <c r="D391" s="4" t="str">
        <f>"叶紫"</f>
        <v>叶紫</v>
      </c>
      <c r="E391" s="4" t="str">
        <f t="shared" si="16"/>
        <v>女</v>
      </c>
    </row>
    <row r="392" spans="1:5" ht="30" customHeight="1">
      <c r="A392" s="4">
        <v>390</v>
      </c>
      <c r="B392" s="4" t="str">
        <f>"39712022060616483198958"</f>
        <v>39712022060616483198958</v>
      </c>
      <c r="C392" s="4" t="s">
        <v>9</v>
      </c>
      <c r="D392" s="4" t="str">
        <f>"陈雪霞"</f>
        <v>陈雪霞</v>
      </c>
      <c r="E392" s="4" t="str">
        <f t="shared" si="16"/>
        <v>女</v>
      </c>
    </row>
    <row r="393" spans="1:5" ht="30" customHeight="1">
      <c r="A393" s="4">
        <v>391</v>
      </c>
      <c r="B393" s="4" t="str">
        <f>"39712022060617502299584"</f>
        <v>39712022060617502299584</v>
      </c>
      <c r="C393" s="4" t="s">
        <v>9</v>
      </c>
      <c r="D393" s="4" t="str">
        <f>"王玲玉"</f>
        <v>王玲玉</v>
      </c>
      <c r="E393" s="4" t="str">
        <f t="shared" si="16"/>
        <v>女</v>
      </c>
    </row>
    <row r="394" spans="1:5" ht="30" customHeight="1">
      <c r="A394" s="4">
        <v>392</v>
      </c>
      <c r="B394" s="4" t="str">
        <f>"39712022060618162499814"</f>
        <v>39712022060618162499814</v>
      </c>
      <c r="C394" s="4" t="s">
        <v>9</v>
      </c>
      <c r="D394" s="4" t="str">
        <f>"王美懿"</f>
        <v>王美懿</v>
      </c>
      <c r="E394" s="4" t="str">
        <f t="shared" si="16"/>
        <v>女</v>
      </c>
    </row>
    <row r="395" spans="1:5" ht="30" customHeight="1">
      <c r="A395" s="4">
        <v>393</v>
      </c>
      <c r="B395" s="4" t="str">
        <f>"39712022060618384399995"</f>
        <v>39712022060618384399995</v>
      </c>
      <c r="C395" s="4" t="s">
        <v>9</v>
      </c>
      <c r="D395" s="4" t="str">
        <f>"欧慧芳"</f>
        <v>欧慧芳</v>
      </c>
      <c r="E395" s="4" t="str">
        <f t="shared" si="16"/>
        <v>女</v>
      </c>
    </row>
    <row r="396" spans="1:5" ht="30" customHeight="1">
      <c r="A396" s="4">
        <v>394</v>
      </c>
      <c r="B396" s="4" t="str">
        <f>"397120220606184954100084"</f>
        <v>397120220606184954100084</v>
      </c>
      <c r="C396" s="4" t="s">
        <v>9</v>
      </c>
      <c r="D396" s="4" t="str">
        <f>"吴彦翠"</f>
        <v>吴彦翠</v>
      </c>
      <c r="E396" s="4" t="str">
        <f t="shared" si="16"/>
        <v>女</v>
      </c>
    </row>
    <row r="397" spans="1:5" ht="30" customHeight="1">
      <c r="A397" s="4">
        <v>395</v>
      </c>
      <c r="B397" s="4" t="str">
        <f>"397120220606185448100132"</f>
        <v>397120220606185448100132</v>
      </c>
      <c r="C397" s="4" t="s">
        <v>9</v>
      </c>
      <c r="D397" s="4" t="str">
        <f>"陈蕊"</f>
        <v>陈蕊</v>
      </c>
      <c r="E397" s="4" t="str">
        <f t="shared" si="16"/>
        <v>女</v>
      </c>
    </row>
    <row r="398" spans="1:5" ht="30" customHeight="1">
      <c r="A398" s="4">
        <v>396</v>
      </c>
      <c r="B398" s="4" t="str">
        <f>"397120220606205107101068"</f>
        <v>397120220606205107101068</v>
      </c>
      <c r="C398" s="4" t="s">
        <v>9</v>
      </c>
      <c r="D398" s="4" t="str">
        <f>"王丽荟"</f>
        <v>王丽荟</v>
      </c>
      <c r="E398" s="4" t="str">
        <f t="shared" si="16"/>
        <v>女</v>
      </c>
    </row>
    <row r="399" spans="1:5" ht="30" customHeight="1">
      <c r="A399" s="4">
        <v>397</v>
      </c>
      <c r="B399" s="4" t="str">
        <f>"397120220606231335102220"</f>
        <v>397120220606231335102220</v>
      </c>
      <c r="C399" s="4" t="s">
        <v>9</v>
      </c>
      <c r="D399" s="4" t="str">
        <f>"林欣"</f>
        <v>林欣</v>
      </c>
      <c r="E399" s="4" t="str">
        <f t="shared" si="16"/>
        <v>女</v>
      </c>
    </row>
    <row r="400" spans="1:5" ht="30" customHeight="1">
      <c r="A400" s="4">
        <v>398</v>
      </c>
      <c r="B400" s="4" t="str">
        <f>"397120220606233354102321"</f>
        <v>397120220606233354102321</v>
      </c>
      <c r="C400" s="4" t="s">
        <v>9</v>
      </c>
      <c r="D400" s="4" t="str">
        <f>"林雅娜"</f>
        <v>林雅娜</v>
      </c>
      <c r="E400" s="4" t="str">
        <f t="shared" si="16"/>
        <v>女</v>
      </c>
    </row>
    <row r="401" spans="1:5" ht="30" customHeight="1">
      <c r="A401" s="4">
        <v>399</v>
      </c>
      <c r="B401" s="4" t="str">
        <f>"397120220607091220103328"</f>
        <v>397120220607091220103328</v>
      </c>
      <c r="C401" s="4" t="s">
        <v>9</v>
      </c>
      <c r="D401" s="4" t="str">
        <f>"张宁"</f>
        <v>张宁</v>
      </c>
      <c r="E401" s="4" t="str">
        <f t="shared" si="16"/>
        <v>女</v>
      </c>
    </row>
    <row r="402" spans="1:5" ht="30" customHeight="1">
      <c r="A402" s="4">
        <v>400</v>
      </c>
      <c r="B402" s="4" t="str">
        <f>"397120220607094715103802"</f>
        <v>397120220607094715103802</v>
      </c>
      <c r="C402" s="4" t="s">
        <v>9</v>
      </c>
      <c r="D402" s="4" t="str">
        <f>"劳秀爰"</f>
        <v>劳秀爰</v>
      </c>
      <c r="E402" s="4" t="str">
        <f t="shared" si="16"/>
        <v>女</v>
      </c>
    </row>
    <row r="403" spans="1:5" ht="30" customHeight="1">
      <c r="A403" s="4">
        <v>401</v>
      </c>
      <c r="B403" s="4" t="str">
        <f>"397120220607095104103853"</f>
        <v>397120220607095104103853</v>
      </c>
      <c r="C403" s="4" t="s">
        <v>9</v>
      </c>
      <c r="D403" s="4" t="str">
        <f>"陈伊文"</f>
        <v>陈伊文</v>
      </c>
      <c r="E403" s="4" t="str">
        <f t="shared" si="16"/>
        <v>女</v>
      </c>
    </row>
    <row r="404" spans="1:5" ht="30" customHeight="1">
      <c r="A404" s="4">
        <v>402</v>
      </c>
      <c r="B404" s="4" t="str">
        <f>"397120220607100041104007"</f>
        <v>397120220607100041104007</v>
      </c>
      <c r="C404" s="4" t="s">
        <v>9</v>
      </c>
      <c r="D404" s="4" t="str">
        <f>"周毅"</f>
        <v>周毅</v>
      </c>
      <c r="E404" s="4" t="str">
        <f>"男"</f>
        <v>男</v>
      </c>
    </row>
    <row r="405" spans="1:5" ht="30" customHeight="1">
      <c r="A405" s="4">
        <v>403</v>
      </c>
      <c r="B405" s="4" t="str">
        <f>"397120220607130515105934"</f>
        <v>397120220607130515105934</v>
      </c>
      <c r="C405" s="4" t="s">
        <v>9</v>
      </c>
      <c r="D405" s="4" t="str">
        <f>"王新芝"</f>
        <v>王新芝</v>
      </c>
      <c r="E405" s="4" t="str">
        <f>"女"</f>
        <v>女</v>
      </c>
    </row>
    <row r="406" spans="1:5" ht="30" customHeight="1">
      <c r="A406" s="4">
        <v>404</v>
      </c>
      <c r="B406" s="4" t="str">
        <f>"397120220607133513106135"</f>
        <v>397120220607133513106135</v>
      </c>
      <c r="C406" s="4" t="s">
        <v>9</v>
      </c>
      <c r="D406" s="4" t="str">
        <f>"邢荣"</f>
        <v>邢荣</v>
      </c>
      <c r="E406" s="4" t="str">
        <f>"女"</f>
        <v>女</v>
      </c>
    </row>
    <row r="407" spans="1:5" ht="30" customHeight="1">
      <c r="A407" s="4">
        <v>405</v>
      </c>
      <c r="B407" s="4" t="str">
        <f>"397120220607155353107326"</f>
        <v>397120220607155353107326</v>
      </c>
      <c r="C407" s="4" t="s">
        <v>9</v>
      </c>
      <c r="D407" s="4" t="str">
        <f>"凌小虹"</f>
        <v>凌小虹</v>
      </c>
      <c r="E407" s="4" t="str">
        <f>"女"</f>
        <v>女</v>
      </c>
    </row>
    <row r="408" spans="1:5" ht="30" customHeight="1">
      <c r="A408" s="4">
        <v>406</v>
      </c>
      <c r="B408" s="4" t="str">
        <f>"397120220607160636107462"</f>
        <v>397120220607160636107462</v>
      </c>
      <c r="C408" s="4" t="s">
        <v>9</v>
      </c>
      <c r="D408" s="4" t="str">
        <f>"彭水苗"</f>
        <v>彭水苗</v>
      </c>
      <c r="E408" s="4" t="str">
        <f>"女"</f>
        <v>女</v>
      </c>
    </row>
    <row r="409" spans="1:5" ht="30" customHeight="1">
      <c r="A409" s="4">
        <v>407</v>
      </c>
      <c r="B409" s="4" t="str">
        <f>"397120220607164846107900"</f>
        <v>397120220607164846107900</v>
      </c>
      <c r="C409" s="4" t="s">
        <v>9</v>
      </c>
      <c r="D409" s="4" t="str">
        <f>"陈青云"</f>
        <v>陈青云</v>
      </c>
      <c r="E409" s="4" t="str">
        <f>"男"</f>
        <v>男</v>
      </c>
    </row>
    <row r="410" spans="1:5" ht="30" customHeight="1">
      <c r="A410" s="4">
        <v>408</v>
      </c>
      <c r="B410" s="4" t="str">
        <f>"397120220607210235109606"</f>
        <v>397120220607210235109606</v>
      </c>
      <c r="C410" s="4" t="s">
        <v>9</v>
      </c>
      <c r="D410" s="4" t="str">
        <f>"黄喜"</f>
        <v>黄喜</v>
      </c>
      <c r="E410" s="4" t="str">
        <f>"女"</f>
        <v>女</v>
      </c>
    </row>
    <row r="411" spans="1:5" ht="30" customHeight="1">
      <c r="A411" s="4">
        <v>409</v>
      </c>
      <c r="B411" s="4" t="str">
        <f>"397120220607224711110353"</f>
        <v>397120220607224711110353</v>
      </c>
      <c r="C411" s="4" t="s">
        <v>9</v>
      </c>
      <c r="D411" s="4" t="str">
        <f>"方海涛"</f>
        <v>方海涛</v>
      </c>
      <c r="E411" s="4" t="str">
        <f>"男"</f>
        <v>男</v>
      </c>
    </row>
    <row r="412" spans="1:5" ht="30" customHeight="1">
      <c r="A412" s="4">
        <v>410</v>
      </c>
      <c r="B412" s="4" t="str">
        <f>"397120220607225355110392"</f>
        <v>397120220607225355110392</v>
      </c>
      <c r="C412" s="4" t="s">
        <v>9</v>
      </c>
      <c r="D412" s="4" t="str">
        <f>"叶冠麟"</f>
        <v>叶冠麟</v>
      </c>
      <c r="E412" s="4" t="str">
        <f>"男"</f>
        <v>男</v>
      </c>
    </row>
    <row r="413" spans="1:5" ht="30" customHeight="1">
      <c r="A413" s="4">
        <v>411</v>
      </c>
      <c r="B413" s="4" t="str">
        <f>"397120220607233921110551"</f>
        <v>397120220607233921110551</v>
      </c>
      <c r="C413" s="4" t="s">
        <v>9</v>
      </c>
      <c r="D413" s="4" t="str">
        <f>"韩千红"</f>
        <v>韩千红</v>
      </c>
      <c r="E413" s="4" t="str">
        <f>"女"</f>
        <v>女</v>
      </c>
    </row>
    <row r="414" spans="1:5" ht="30" customHeight="1">
      <c r="A414" s="4">
        <v>412</v>
      </c>
      <c r="B414" s="4" t="str">
        <f>"397120220608081549110919"</f>
        <v>397120220608081549110919</v>
      </c>
      <c r="C414" s="4" t="s">
        <v>9</v>
      </c>
      <c r="D414" s="4" t="str">
        <f>"苏文玲"</f>
        <v>苏文玲</v>
      </c>
      <c r="E414" s="4" t="str">
        <f>"女"</f>
        <v>女</v>
      </c>
    </row>
    <row r="415" spans="1:5" ht="30" customHeight="1">
      <c r="A415" s="4">
        <v>413</v>
      </c>
      <c r="B415" s="4" t="str">
        <f>"397120220608101645111830"</f>
        <v>397120220608101645111830</v>
      </c>
      <c r="C415" s="4" t="s">
        <v>9</v>
      </c>
      <c r="D415" s="4" t="str">
        <f>"何婉盈"</f>
        <v>何婉盈</v>
      </c>
      <c r="E415" s="4" t="str">
        <f>"女"</f>
        <v>女</v>
      </c>
    </row>
    <row r="416" spans="1:5" ht="30" customHeight="1">
      <c r="A416" s="4">
        <v>414</v>
      </c>
      <c r="B416" s="4" t="str">
        <f>"397120220608102329111887"</f>
        <v>397120220608102329111887</v>
      </c>
      <c r="C416" s="4" t="s">
        <v>9</v>
      </c>
      <c r="D416" s="4" t="str">
        <f>"吴水燕"</f>
        <v>吴水燕</v>
      </c>
      <c r="E416" s="4" t="str">
        <f>"女"</f>
        <v>女</v>
      </c>
    </row>
    <row r="417" spans="1:5" ht="30" customHeight="1">
      <c r="A417" s="4">
        <v>415</v>
      </c>
      <c r="B417" s="4" t="str">
        <f>"397120220608113432112493"</f>
        <v>397120220608113432112493</v>
      </c>
      <c r="C417" s="4" t="s">
        <v>9</v>
      </c>
      <c r="D417" s="4" t="str">
        <f>"陈夏惠"</f>
        <v>陈夏惠</v>
      </c>
      <c r="E417" s="4" t="str">
        <f>"女"</f>
        <v>女</v>
      </c>
    </row>
    <row r="418" spans="1:5" ht="30" customHeight="1">
      <c r="A418" s="4">
        <v>416</v>
      </c>
      <c r="B418" s="4" t="str">
        <f>"39712022060110493479112"</f>
        <v>39712022060110493479112</v>
      </c>
      <c r="C418" s="4" t="s">
        <v>11</v>
      </c>
      <c r="D418" s="4" t="str">
        <f>"符庸富"</f>
        <v>符庸富</v>
      </c>
      <c r="E418" s="4" t="str">
        <f>"男"</f>
        <v>男</v>
      </c>
    </row>
    <row r="419" spans="1:5" ht="30" customHeight="1">
      <c r="A419" s="4">
        <v>417</v>
      </c>
      <c r="B419" s="4" t="str">
        <f>"39712022060120514282188"</f>
        <v>39712022060120514282188</v>
      </c>
      <c r="C419" s="4" t="s">
        <v>11</v>
      </c>
      <c r="D419" s="4" t="str">
        <f>"李建慧"</f>
        <v>李建慧</v>
      </c>
      <c r="E419" s="4" t="str">
        <f>"女"</f>
        <v>女</v>
      </c>
    </row>
    <row r="420" spans="1:5" ht="30" customHeight="1">
      <c r="A420" s="4">
        <v>418</v>
      </c>
      <c r="B420" s="4" t="str">
        <f>"39712022060214583285643"</f>
        <v>39712022060214583285643</v>
      </c>
      <c r="C420" s="4" t="s">
        <v>11</v>
      </c>
      <c r="D420" s="4" t="str">
        <f>"刘景栋"</f>
        <v>刘景栋</v>
      </c>
      <c r="E420" s="4" t="str">
        <f>"男"</f>
        <v>男</v>
      </c>
    </row>
    <row r="421" spans="1:5" ht="30" customHeight="1">
      <c r="A421" s="4">
        <v>419</v>
      </c>
      <c r="B421" s="4" t="str">
        <f>"39712022060215373585880"</f>
        <v>39712022060215373585880</v>
      </c>
      <c r="C421" s="4" t="s">
        <v>11</v>
      </c>
      <c r="D421" s="4" t="str">
        <f>"吴洁芯"</f>
        <v>吴洁芯</v>
      </c>
      <c r="E421" s="4" t="str">
        <f aca="true" t="shared" si="17" ref="E421:E432">"女"</f>
        <v>女</v>
      </c>
    </row>
    <row r="422" spans="1:5" ht="30" customHeight="1">
      <c r="A422" s="4">
        <v>420</v>
      </c>
      <c r="B422" s="4" t="str">
        <f>"39712022060317122988172"</f>
        <v>39712022060317122988172</v>
      </c>
      <c r="C422" s="4" t="s">
        <v>11</v>
      </c>
      <c r="D422" s="4" t="str">
        <f>"施书棋"</f>
        <v>施书棋</v>
      </c>
      <c r="E422" s="4" t="str">
        <f t="shared" si="17"/>
        <v>女</v>
      </c>
    </row>
    <row r="423" spans="1:5" ht="30" customHeight="1">
      <c r="A423" s="4">
        <v>421</v>
      </c>
      <c r="B423" s="4" t="str">
        <f>"39712022060320325688346"</f>
        <v>39712022060320325688346</v>
      </c>
      <c r="C423" s="4" t="s">
        <v>11</v>
      </c>
      <c r="D423" s="4" t="str">
        <f>"陈云彩"</f>
        <v>陈云彩</v>
      </c>
      <c r="E423" s="4" t="str">
        <f t="shared" si="17"/>
        <v>女</v>
      </c>
    </row>
    <row r="424" spans="1:5" ht="30" customHeight="1">
      <c r="A424" s="4">
        <v>422</v>
      </c>
      <c r="B424" s="4" t="str">
        <f>"39712022060420011789296"</f>
        <v>39712022060420011789296</v>
      </c>
      <c r="C424" s="4" t="s">
        <v>11</v>
      </c>
      <c r="D424" s="4" t="str">
        <f>"陆晶晶"</f>
        <v>陆晶晶</v>
      </c>
      <c r="E424" s="4" t="str">
        <f t="shared" si="17"/>
        <v>女</v>
      </c>
    </row>
    <row r="425" spans="1:5" ht="30" customHeight="1">
      <c r="A425" s="4">
        <v>423</v>
      </c>
      <c r="B425" s="4" t="str">
        <f>"39712022060513492690085"</f>
        <v>39712022060513492690085</v>
      </c>
      <c r="C425" s="4" t="s">
        <v>11</v>
      </c>
      <c r="D425" s="4" t="str">
        <f>"江晓"</f>
        <v>江晓</v>
      </c>
      <c r="E425" s="4" t="str">
        <f t="shared" si="17"/>
        <v>女</v>
      </c>
    </row>
    <row r="426" spans="1:5" ht="30" customHeight="1">
      <c r="A426" s="4">
        <v>424</v>
      </c>
      <c r="B426" s="4" t="str">
        <f>"39712022060516184390256"</f>
        <v>39712022060516184390256</v>
      </c>
      <c r="C426" s="4" t="s">
        <v>11</v>
      </c>
      <c r="D426" s="4" t="str">
        <f>"颜光钰"</f>
        <v>颜光钰</v>
      </c>
      <c r="E426" s="4" t="str">
        <f t="shared" si="17"/>
        <v>女</v>
      </c>
    </row>
    <row r="427" spans="1:5" ht="30" customHeight="1">
      <c r="A427" s="4">
        <v>425</v>
      </c>
      <c r="B427" s="4" t="str">
        <f>"39712022060517252890369"</f>
        <v>39712022060517252890369</v>
      </c>
      <c r="C427" s="4" t="s">
        <v>11</v>
      </c>
      <c r="D427" s="4" t="str">
        <f>"吴瑜"</f>
        <v>吴瑜</v>
      </c>
      <c r="E427" s="4" t="str">
        <f t="shared" si="17"/>
        <v>女</v>
      </c>
    </row>
    <row r="428" spans="1:5" ht="30" customHeight="1">
      <c r="A428" s="4">
        <v>426</v>
      </c>
      <c r="B428" s="4" t="str">
        <f>"39712022060517454790395"</f>
        <v>39712022060517454790395</v>
      </c>
      <c r="C428" s="4" t="s">
        <v>11</v>
      </c>
      <c r="D428" s="4" t="str">
        <f>"叶秀娟"</f>
        <v>叶秀娟</v>
      </c>
      <c r="E428" s="4" t="str">
        <f t="shared" si="17"/>
        <v>女</v>
      </c>
    </row>
    <row r="429" spans="1:5" ht="30" customHeight="1">
      <c r="A429" s="4">
        <v>427</v>
      </c>
      <c r="B429" s="4" t="str">
        <f>"39712022060520052790571"</f>
        <v>39712022060520052790571</v>
      </c>
      <c r="C429" s="4" t="s">
        <v>11</v>
      </c>
      <c r="D429" s="4" t="str">
        <f>"王彤"</f>
        <v>王彤</v>
      </c>
      <c r="E429" s="4" t="str">
        <f t="shared" si="17"/>
        <v>女</v>
      </c>
    </row>
    <row r="430" spans="1:5" ht="30" customHeight="1">
      <c r="A430" s="4">
        <v>428</v>
      </c>
      <c r="B430" s="4" t="str">
        <f>"39712022060521500290802"</f>
        <v>39712022060521500290802</v>
      </c>
      <c r="C430" s="4" t="s">
        <v>11</v>
      </c>
      <c r="D430" s="4" t="str">
        <f>"高方红"</f>
        <v>高方红</v>
      </c>
      <c r="E430" s="4" t="str">
        <f t="shared" si="17"/>
        <v>女</v>
      </c>
    </row>
    <row r="431" spans="1:5" ht="30" customHeight="1">
      <c r="A431" s="4">
        <v>429</v>
      </c>
      <c r="B431" s="4" t="str">
        <f>"39712022060601171691015"</f>
        <v>39712022060601171691015</v>
      </c>
      <c r="C431" s="4" t="s">
        <v>11</v>
      </c>
      <c r="D431" s="4" t="str">
        <f>"梁冰洁"</f>
        <v>梁冰洁</v>
      </c>
      <c r="E431" s="4" t="str">
        <f t="shared" si="17"/>
        <v>女</v>
      </c>
    </row>
    <row r="432" spans="1:5" ht="30" customHeight="1">
      <c r="A432" s="4">
        <v>430</v>
      </c>
      <c r="B432" s="4" t="str">
        <f>"39712022060615360897972"</f>
        <v>39712022060615360897972</v>
      </c>
      <c r="C432" s="4" t="s">
        <v>11</v>
      </c>
      <c r="D432" s="4" t="str">
        <f>"符燕威"</f>
        <v>符燕威</v>
      </c>
      <c r="E432" s="4" t="str">
        <f t="shared" si="17"/>
        <v>女</v>
      </c>
    </row>
    <row r="433" spans="1:5" ht="30" customHeight="1">
      <c r="A433" s="4">
        <v>431</v>
      </c>
      <c r="B433" s="4" t="str">
        <f>"39712022060618034399702"</f>
        <v>39712022060618034399702</v>
      </c>
      <c r="C433" s="4" t="s">
        <v>11</v>
      </c>
      <c r="D433" s="4" t="str">
        <f>"杜定总"</f>
        <v>杜定总</v>
      </c>
      <c r="E433" s="4" t="str">
        <f>"男"</f>
        <v>男</v>
      </c>
    </row>
    <row r="434" spans="1:5" ht="30" customHeight="1">
      <c r="A434" s="4">
        <v>432</v>
      </c>
      <c r="B434" s="4" t="str">
        <f>"397120220606222839101914"</f>
        <v>397120220606222839101914</v>
      </c>
      <c r="C434" s="4" t="s">
        <v>11</v>
      </c>
      <c r="D434" s="4" t="str">
        <f>"陈桐"</f>
        <v>陈桐</v>
      </c>
      <c r="E434" s="4" t="str">
        <f aca="true" t="shared" si="18" ref="E434:E442">"女"</f>
        <v>女</v>
      </c>
    </row>
    <row r="435" spans="1:5" ht="30" customHeight="1">
      <c r="A435" s="4">
        <v>433</v>
      </c>
      <c r="B435" s="4" t="str">
        <f>"397120220607103156104440"</f>
        <v>397120220607103156104440</v>
      </c>
      <c r="C435" s="4" t="s">
        <v>11</v>
      </c>
      <c r="D435" s="4" t="str">
        <f>"陈春杰"</f>
        <v>陈春杰</v>
      </c>
      <c r="E435" s="4" t="str">
        <f t="shared" si="18"/>
        <v>女</v>
      </c>
    </row>
    <row r="436" spans="1:5" ht="30" customHeight="1">
      <c r="A436" s="4">
        <v>434</v>
      </c>
      <c r="B436" s="4" t="str">
        <f>"397120220607161545107572"</f>
        <v>397120220607161545107572</v>
      </c>
      <c r="C436" s="4" t="s">
        <v>11</v>
      </c>
      <c r="D436" s="4" t="str">
        <f>"吴小芬"</f>
        <v>吴小芬</v>
      </c>
      <c r="E436" s="4" t="str">
        <f t="shared" si="18"/>
        <v>女</v>
      </c>
    </row>
    <row r="437" spans="1:5" ht="30" customHeight="1">
      <c r="A437" s="4">
        <v>435</v>
      </c>
      <c r="B437" s="4" t="str">
        <f>"397120220607171954108163"</f>
        <v>397120220607171954108163</v>
      </c>
      <c r="C437" s="4" t="s">
        <v>11</v>
      </c>
      <c r="D437" s="4" t="str">
        <f>"陈小钰"</f>
        <v>陈小钰</v>
      </c>
      <c r="E437" s="4" t="str">
        <f t="shared" si="18"/>
        <v>女</v>
      </c>
    </row>
    <row r="438" spans="1:5" ht="30" customHeight="1">
      <c r="A438" s="4">
        <v>436</v>
      </c>
      <c r="B438" s="4" t="str">
        <f>"397120220608003258110670"</f>
        <v>397120220608003258110670</v>
      </c>
      <c r="C438" s="4" t="s">
        <v>11</v>
      </c>
      <c r="D438" s="4" t="str">
        <f>"邢露滢"</f>
        <v>邢露滢</v>
      </c>
      <c r="E438" s="4" t="str">
        <f t="shared" si="18"/>
        <v>女</v>
      </c>
    </row>
    <row r="439" spans="1:5" ht="30" customHeight="1">
      <c r="A439" s="4">
        <v>437</v>
      </c>
      <c r="B439" s="4" t="str">
        <f>"397120220608104507112085"</f>
        <v>397120220608104507112085</v>
      </c>
      <c r="C439" s="4" t="s">
        <v>11</v>
      </c>
      <c r="D439" s="4" t="str">
        <f>"吴丹琴"</f>
        <v>吴丹琴</v>
      </c>
      <c r="E439" s="4" t="str">
        <f t="shared" si="18"/>
        <v>女</v>
      </c>
    </row>
    <row r="440" spans="1:5" ht="30" customHeight="1">
      <c r="A440" s="4">
        <v>438</v>
      </c>
      <c r="B440" s="4" t="str">
        <f>"39712022060109052478220"</f>
        <v>39712022060109052478220</v>
      </c>
      <c r="C440" s="4" t="s">
        <v>12</v>
      </c>
      <c r="D440" s="4" t="str">
        <f>"郭金萍"</f>
        <v>郭金萍</v>
      </c>
      <c r="E440" s="4" t="str">
        <f t="shared" si="18"/>
        <v>女</v>
      </c>
    </row>
    <row r="441" spans="1:5" ht="30" customHeight="1">
      <c r="A441" s="4">
        <v>439</v>
      </c>
      <c r="B441" s="4" t="str">
        <f>"39712022060109053178223"</f>
        <v>39712022060109053178223</v>
      </c>
      <c r="C441" s="4" t="s">
        <v>12</v>
      </c>
      <c r="D441" s="4" t="str">
        <f>"蔡娴靖"</f>
        <v>蔡娴靖</v>
      </c>
      <c r="E441" s="4" t="str">
        <f t="shared" si="18"/>
        <v>女</v>
      </c>
    </row>
    <row r="442" spans="1:5" ht="30" customHeight="1">
      <c r="A442" s="4">
        <v>440</v>
      </c>
      <c r="B442" s="4" t="str">
        <f>"39712022060109451278587"</f>
        <v>39712022060109451278587</v>
      </c>
      <c r="C442" s="4" t="s">
        <v>12</v>
      </c>
      <c r="D442" s="4" t="str">
        <f>"林师颖"</f>
        <v>林师颖</v>
      </c>
      <c r="E442" s="4" t="str">
        <f t="shared" si="18"/>
        <v>女</v>
      </c>
    </row>
    <row r="443" spans="1:5" ht="30" customHeight="1">
      <c r="A443" s="4">
        <v>441</v>
      </c>
      <c r="B443" s="4" t="str">
        <f>"39712022060112102979654"</f>
        <v>39712022060112102979654</v>
      </c>
      <c r="C443" s="4" t="s">
        <v>12</v>
      </c>
      <c r="D443" s="4" t="str">
        <f>"王选明"</f>
        <v>王选明</v>
      </c>
      <c r="E443" s="4" t="str">
        <f>"男"</f>
        <v>男</v>
      </c>
    </row>
    <row r="444" spans="1:5" ht="30" customHeight="1">
      <c r="A444" s="4">
        <v>442</v>
      </c>
      <c r="B444" s="4" t="str">
        <f>"39712022060112255779734"</f>
        <v>39712022060112255779734</v>
      </c>
      <c r="C444" s="4" t="s">
        <v>12</v>
      </c>
      <c r="D444" s="4" t="str">
        <f>"苏彬"</f>
        <v>苏彬</v>
      </c>
      <c r="E444" s="4" t="str">
        <f>"男"</f>
        <v>男</v>
      </c>
    </row>
    <row r="445" spans="1:5" ht="30" customHeight="1">
      <c r="A445" s="4">
        <v>443</v>
      </c>
      <c r="B445" s="4" t="str">
        <f>"39712022060112544479888"</f>
        <v>39712022060112544479888</v>
      </c>
      <c r="C445" s="4" t="s">
        <v>12</v>
      </c>
      <c r="D445" s="4" t="str">
        <f>"孙唯峰"</f>
        <v>孙唯峰</v>
      </c>
      <c r="E445" s="4" t="str">
        <f>"男"</f>
        <v>男</v>
      </c>
    </row>
    <row r="446" spans="1:5" ht="30" customHeight="1">
      <c r="A446" s="4">
        <v>444</v>
      </c>
      <c r="B446" s="4" t="str">
        <f>"39712022060200400083106"</f>
        <v>39712022060200400083106</v>
      </c>
      <c r="C446" s="4" t="s">
        <v>12</v>
      </c>
      <c r="D446" s="4" t="str">
        <f>"陈春艳"</f>
        <v>陈春艳</v>
      </c>
      <c r="E446" s="4" t="str">
        <f>"女"</f>
        <v>女</v>
      </c>
    </row>
    <row r="447" spans="1:5" ht="30" customHeight="1">
      <c r="A447" s="4">
        <v>445</v>
      </c>
      <c r="B447" s="4" t="str">
        <f>"39712022060210472984304"</f>
        <v>39712022060210472984304</v>
      </c>
      <c r="C447" s="4" t="s">
        <v>12</v>
      </c>
      <c r="D447" s="4" t="str">
        <f>"黎玉花"</f>
        <v>黎玉花</v>
      </c>
      <c r="E447" s="4" t="str">
        <f>"女"</f>
        <v>女</v>
      </c>
    </row>
    <row r="448" spans="1:5" ht="30" customHeight="1">
      <c r="A448" s="4">
        <v>446</v>
      </c>
      <c r="B448" s="4" t="str">
        <f>"39712022060214332485513"</f>
        <v>39712022060214332485513</v>
      </c>
      <c r="C448" s="4" t="s">
        <v>12</v>
      </c>
      <c r="D448" s="4" t="str">
        <f>"巩兴伟"</f>
        <v>巩兴伟</v>
      </c>
      <c r="E448" s="4" t="str">
        <f>"男"</f>
        <v>男</v>
      </c>
    </row>
    <row r="449" spans="1:5" ht="30" customHeight="1">
      <c r="A449" s="4">
        <v>447</v>
      </c>
      <c r="B449" s="4" t="str">
        <f>"39712022060215082885709"</f>
        <v>39712022060215082885709</v>
      </c>
      <c r="C449" s="4" t="s">
        <v>12</v>
      </c>
      <c r="D449" s="4" t="str">
        <f>"郑澄"</f>
        <v>郑澄</v>
      </c>
      <c r="E449" s="4" t="str">
        <f>"女"</f>
        <v>女</v>
      </c>
    </row>
    <row r="450" spans="1:5" ht="30" customHeight="1">
      <c r="A450" s="4">
        <v>448</v>
      </c>
      <c r="B450" s="4" t="str">
        <f>"39712022060215563685985"</f>
        <v>39712022060215563685985</v>
      </c>
      <c r="C450" s="4" t="s">
        <v>12</v>
      </c>
      <c r="D450" s="4" t="str">
        <f>"龙彦汐"</f>
        <v>龙彦汐</v>
      </c>
      <c r="E450" s="4" t="str">
        <f>"女"</f>
        <v>女</v>
      </c>
    </row>
    <row r="451" spans="1:5" ht="30" customHeight="1">
      <c r="A451" s="4">
        <v>449</v>
      </c>
      <c r="B451" s="4" t="str">
        <f>"39712022060222011087297"</f>
        <v>39712022060222011087297</v>
      </c>
      <c r="C451" s="4" t="s">
        <v>12</v>
      </c>
      <c r="D451" s="4" t="str">
        <f>"孔颖"</f>
        <v>孔颖</v>
      </c>
      <c r="E451" s="4" t="str">
        <f>"女"</f>
        <v>女</v>
      </c>
    </row>
    <row r="452" spans="1:5" ht="30" customHeight="1">
      <c r="A452" s="4">
        <v>450</v>
      </c>
      <c r="B452" s="4" t="str">
        <f>"39712022060311173687834"</f>
        <v>39712022060311173687834</v>
      </c>
      <c r="C452" s="4" t="s">
        <v>12</v>
      </c>
      <c r="D452" s="4" t="str">
        <f>"王睿"</f>
        <v>王睿</v>
      </c>
      <c r="E452" s="4" t="str">
        <f>"女"</f>
        <v>女</v>
      </c>
    </row>
    <row r="453" spans="1:5" ht="30" customHeight="1">
      <c r="A453" s="4">
        <v>451</v>
      </c>
      <c r="B453" s="4" t="str">
        <f>"39712022060316373088138"</f>
        <v>39712022060316373088138</v>
      </c>
      <c r="C453" s="4" t="s">
        <v>12</v>
      </c>
      <c r="D453" s="4" t="str">
        <f>"陈诗韵"</f>
        <v>陈诗韵</v>
      </c>
      <c r="E453" s="4" t="str">
        <f>"女"</f>
        <v>女</v>
      </c>
    </row>
    <row r="454" spans="1:5" ht="30" customHeight="1">
      <c r="A454" s="4">
        <v>452</v>
      </c>
      <c r="B454" s="4" t="str">
        <f>"39712022060410052888685"</f>
        <v>39712022060410052888685</v>
      </c>
      <c r="C454" s="4" t="s">
        <v>12</v>
      </c>
      <c r="D454" s="4" t="str">
        <f>"祁辅智"</f>
        <v>祁辅智</v>
      </c>
      <c r="E454" s="4" t="str">
        <f>"男"</f>
        <v>男</v>
      </c>
    </row>
    <row r="455" spans="1:5" ht="30" customHeight="1">
      <c r="A455" s="4">
        <v>453</v>
      </c>
      <c r="B455" s="4" t="str">
        <f>"39712022060411085788786"</f>
        <v>39712022060411085788786</v>
      </c>
      <c r="C455" s="4" t="s">
        <v>12</v>
      </c>
      <c r="D455" s="4" t="str">
        <f>"邢贞巧"</f>
        <v>邢贞巧</v>
      </c>
      <c r="E455" s="4" t="str">
        <f>"女"</f>
        <v>女</v>
      </c>
    </row>
    <row r="456" spans="1:5" ht="30" customHeight="1">
      <c r="A456" s="4">
        <v>454</v>
      </c>
      <c r="B456" s="4" t="str">
        <f>"39712022060413121888904"</f>
        <v>39712022060413121888904</v>
      </c>
      <c r="C456" s="4" t="s">
        <v>12</v>
      </c>
      <c r="D456" s="4" t="str">
        <f>"吴若婵"</f>
        <v>吴若婵</v>
      </c>
      <c r="E456" s="4" t="str">
        <f>"女"</f>
        <v>女</v>
      </c>
    </row>
    <row r="457" spans="1:5" ht="30" customHeight="1">
      <c r="A457" s="4">
        <v>455</v>
      </c>
      <c r="B457" s="4" t="str">
        <f>"39712022060418183389201"</f>
        <v>39712022060418183389201</v>
      </c>
      <c r="C457" s="4" t="s">
        <v>12</v>
      </c>
      <c r="D457" s="4" t="str">
        <f>"陈荟"</f>
        <v>陈荟</v>
      </c>
      <c r="E457" s="4" t="str">
        <f>"女"</f>
        <v>女</v>
      </c>
    </row>
    <row r="458" spans="1:5" ht="30" customHeight="1">
      <c r="A458" s="4">
        <v>456</v>
      </c>
      <c r="B458" s="4" t="str">
        <f>"39712022060423095789503"</f>
        <v>39712022060423095789503</v>
      </c>
      <c r="C458" s="4" t="s">
        <v>12</v>
      </c>
      <c r="D458" s="4" t="str">
        <f>"郑心然"</f>
        <v>郑心然</v>
      </c>
      <c r="E458" s="4" t="str">
        <f>"女"</f>
        <v>女</v>
      </c>
    </row>
    <row r="459" spans="1:5" ht="30" customHeight="1">
      <c r="A459" s="4">
        <v>457</v>
      </c>
      <c r="B459" s="4" t="str">
        <f>"39712022060500151389557"</f>
        <v>39712022060500151389557</v>
      </c>
      <c r="C459" s="4" t="s">
        <v>12</v>
      </c>
      <c r="D459" s="4" t="str">
        <f>"吴旻芳"</f>
        <v>吴旻芳</v>
      </c>
      <c r="E459" s="4" t="str">
        <f>"女"</f>
        <v>女</v>
      </c>
    </row>
    <row r="460" spans="1:5" ht="30" customHeight="1">
      <c r="A460" s="4">
        <v>458</v>
      </c>
      <c r="B460" s="4" t="str">
        <f>"39712022060510585289843"</f>
        <v>39712022060510585289843</v>
      </c>
      <c r="C460" s="4" t="s">
        <v>12</v>
      </c>
      <c r="D460" s="4" t="str">
        <f>"向子千"</f>
        <v>向子千</v>
      </c>
      <c r="E460" s="4" t="str">
        <f>"男"</f>
        <v>男</v>
      </c>
    </row>
    <row r="461" spans="1:5" ht="30" customHeight="1">
      <c r="A461" s="4">
        <v>459</v>
      </c>
      <c r="B461" s="4" t="str">
        <f>"39712022060514364790135"</f>
        <v>39712022060514364790135</v>
      </c>
      <c r="C461" s="4" t="s">
        <v>12</v>
      </c>
      <c r="D461" s="4" t="str">
        <f>"卢红月"</f>
        <v>卢红月</v>
      </c>
      <c r="E461" s="4" t="str">
        <f>"女"</f>
        <v>女</v>
      </c>
    </row>
    <row r="462" spans="1:5" ht="30" customHeight="1">
      <c r="A462" s="4">
        <v>460</v>
      </c>
      <c r="B462" s="4" t="str">
        <f>"39712022060615553398261"</f>
        <v>39712022060615553398261</v>
      </c>
      <c r="C462" s="4" t="s">
        <v>12</v>
      </c>
      <c r="D462" s="4" t="str">
        <f>"陈培昌"</f>
        <v>陈培昌</v>
      </c>
      <c r="E462" s="4" t="str">
        <f>"男"</f>
        <v>男</v>
      </c>
    </row>
    <row r="463" spans="1:5" ht="30" customHeight="1">
      <c r="A463" s="4">
        <v>461</v>
      </c>
      <c r="B463" s="4" t="str">
        <f>"397120220606212638101372"</f>
        <v>397120220606212638101372</v>
      </c>
      <c r="C463" s="4" t="s">
        <v>12</v>
      </c>
      <c r="D463" s="4" t="str">
        <f>"叶娜"</f>
        <v>叶娜</v>
      </c>
      <c r="E463" s="4" t="str">
        <f aca="true" t="shared" si="19" ref="E463:E468">"女"</f>
        <v>女</v>
      </c>
    </row>
    <row r="464" spans="1:5" ht="30" customHeight="1">
      <c r="A464" s="4">
        <v>462</v>
      </c>
      <c r="B464" s="4" t="str">
        <f>"397120220606223403101969"</f>
        <v>397120220606223403101969</v>
      </c>
      <c r="C464" s="4" t="s">
        <v>12</v>
      </c>
      <c r="D464" s="4" t="str">
        <f>"羊有菊"</f>
        <v>羊有菊</v>
      </c>
      <c r="E464" s="4" t="str">
        <f t="shared" si="19"/>
        <v>女</v>
      </c>
    </row>
    <row r="465" spans="1:5" ht="30" customHeight="1">
      <c r="A465" s="4">
        <v>463</v>
      </c>
      <c r="B465" s="4" t="str">
        <f>"397120220607001225102435"</f>
        <v>397120220607001225102435</v>
      </c>
      <c r="C465" s="4" t="s">
        <v>12</v>
      </c>
      <c r="D465" s="4" t="str">
        <f>"谢昭彦"</f>
        <v>谢昭彦</v>
      </c>
      <c r="E465" s="4" t="str">
        <f t="shared" si="19"/>
        <v>女</v>
      </c>
    </row>
    <row r="466" spans="1:5" ht="30" customHeight="1">
      <c r="A466" s="4">
        <v>464</v>
      </c>
      <c r="B466" s="4" t="str">
        <f>"397120220607134117106175"</f>
        <v>397120220607134117106175</v>
      </c>
      <c r="C466" s="4" t="s">
        <v>12</v>
      </c>
      <c r="D466" s="4" t="str">
        <f>"黎丹丹"</f>
        <v>黎丹丹</v>
      </c>
      <c r="E466" s="4" t="str">
        <f t="shared" si="19"/>
        <v>女</v>
      </c>
    </row>
    <row r="467" spans="1:5" ht="30" customHeight="1">
      <c r="A467" s="4">
        <v>465</v>
      </c>
      <c r="B467" s="4" t="str">
        <f>"397120220607145809106726"</f>
        <v>397120220607145809106726</v>
      </c>
      <c r="C467" s="4" t="s">
        <v>12</v>
      </c>
      <c r="D467" s="4" t="str">
        <f>"黄舒音"</f>
        <v>黄舒音</v>
      </c>
      <c r="E467" s="4" t="str">
        <f t="shared" si="19"/>
        <v>女</v>
      </c>
    </row>
    <row r="468" spans="1:5" ht="30" customHeight="1">
      <c r="A468" s="4">
        <v>466</v>
      </c>
      <c r="B468" s="4" t="str">
        <f>"397120220607160040107400"</f>
        <v>397120220607160040107400</v>
      </c>
      <c r="C468" s="4" t="s">
        <v>12</v>
      </c>
      <c r="D468" s="4" t="str">
        <f>"陈鸿文"</f>
        <v>陈鸿文</v>
      </c>
      <c r="E468" s="4" t="str">
        <f t="shared" si="19"/>
        <v>女</v>
      </c>
    </row>
    <row r="469" spans="1:5" ht="30" customHeight="1">
      <c r="A469" s="4">
        <v>467</v>
      </c>
      <c r="B469" s="4" t="str">
        <f>"397120220607203342109398"</f>
        <v>397120220607203342109398</v>
      </c>
      <c r="C469" s="4" t="s">
        <v>12</v>
      </c>
      <c r="D469" s="4" t="str">
        <f>"乌瑶"</f>
        <v>乌瑶</v>
      </c>
      <c r="E469" s="4" t="str">
        <f>"男"</f>
        <v>男</v>
      </c>
    </row>
    <row r="470" spans="1:5" ht="30" customHeight="1">
      <c r="A470" s="4">
        <v>468</v>
      </c>
      <c r="B470" s="4" t="str">
        <f>"397120220607232837110517"</f>
        <v>397120220607232837110517</v>
      </c>
      <c r="C470" s="4" t="s">
        <v>12</v>
      </c>
      <c r="D470" s="4" t="str">
        <f>"陈伊敏"</f>
        <v>陈伊敏</v>
      </c>
      <c r="E470" s="4" t="str">
        <f>"女"</f>
        <v>女</v>
      </c>
    </row>
    <row r="471" spans="1:5" ht="30" customHeight="1">
      <c r="A471" s="4">
        <v>469</v>
      </c>
      <c r="B471" s="4" t="str">
        <f>"397120220608085406111159"</f>
        <v>397120220608085406111159</v>
      </c>
      <c r="C471" s="4" t="s">
        <v>12</v>
      </c>
      <c r="D471" s="4" t="str">
        <f>"高艺珊"</f>
        <v>高艺珊</v>
      </c>
      <c r="E471" s="4" t="str">
        <f>"女"</f>
        <v>女</v>
      </c>
    </row>
    <row r="472" spans="1:5" ht="30" customHeight="1">
      <c r="A472" s="4">
        <v>470</v>
      </c>
      <c r="B472" s="4" t="str">
        <f>"39712022060113373280094"</f>
        <v>39712022060113373280094</v>
      </c>
      <c r="C472" s="4" t="s">
        <v>13</v>
      </c>
      <c r="D472" s="4" t="str">
        <f>"翁应瑜"</f>
        <v>翁应瑜</v>
      </c>
      <c r="E472" s="4" t="str">
        <f>"女"</f>
        <v>女</v>
      </c>
    </row>
    <row r="473" spans="1:5" ht="30" customHeight="1">
      <c r="A473" s="4">
        <v>471</v>
      </c>
      <c r="B473" s="4" t="str">
        <f>"39712022060115163680526"</f>
        <v>39712022060115163680526</v>
      </c>
      <c r="C473" s="4" t="s">
        <v>13</v>
      </c>
      <c r="D473" s="4" t="str">
        <f>"张浩辰"</f>
        <v>张浩辰</v>
      </c>
      <c r="E473" s="4" t="str">
        <f>"男"</f>
        <v>男</v>
      </c>
    </row>
    <row r="474" spans="1:5" ht="30" customHeight="1">
      <c r="A474" s="4">
        <v>472</v>
      </c>
      <c r="B474" s="4" t="str">
        <f>"39712022060122460082796"</f>
        <v>39712022060122460082796</v>
      </c>
      <c r="C474" s="4" t="s">
        <v>13</v>
      </c>
      <c r="D474" s="4" t="str">
        <f>"潘文茹"</f>
        <v>潘文茹</v>
      </c>
      <c r="E474" s="4" t="str">
        <f aca="true" t="shared" si="20" ref="E474:E486">"女"</f>
        <v>女</v>
      </c>
    </row>
    <row r="475" spans="1:5" ht="30" customHeight="1">
      <c r="A475" s="4">
        <v>473</v>
      </c>
      <c r="B475" s="4" t="str">
        <f>"39712022060122574882860"</f>
        <v>39712022060122574882860</v>
      </c>
      <c r="C475" s="4" t="s">
        <v>13</v>
      </c>
      <c r="D475" s="4" t="str">
        <f>"万美"</f>
        <v>万美</v>
      </c>
      <c r="E475" s="4" t="str">
        <f t="shared" si="20"/>
        <v>女</v>
      </c>
    </row>
    <row r="476" spans="1:5" ht="30" customHeight="1">
      <c r="A476" s="4">
        <v>474</v>
      </c>
      <c r="B476" s="4" t="str">
        <f>"39712022060210090884009"</f>
        <v>39712022060210090884009</v>
      </c>
      <c r="C476" s="4" t="s">
        <v>13</v>
      </c>
      <c r="D476" s="4" t="str">
        <f>"万燃"</f>
        <v>万燃</v>
      </c>
      <c r="E476" s="4" t="str">
        <f t="shared" si="20"/>
        <v>女</v>
      </c>
    </row>
    <row r="477" spans="1:5" ht="30" customHeight="1">
      <c r="A477" s="4">
        <v>475</v>
      </c>
      <c r="B477" s="4" t="str">
        <f>"39712022060219161686806"</f>
        <v>39712022060219161686806</v>
      </c>
      <c r="C477" s="4" t="s">
        <v>13</v>
      </c>
      <c r="D477" s="4" t="str">
        <f>"刘诗莹"</f>
        <v>刘诗莹</v>
      </c>
      <c r="E477" s="4" t="str">
        <f t="shared" si="20"/>
        <v>女</v>
      </c>
    </row>
    <row r="478" spans="1:5" ht="30" customHeight="1">
      <c r="A478" s="4">
        <v>476</v>
      </c>
      <c r="B478" s="4" t="str">
        <f>"39712022060219232586828"</f>
        <v>39712022060219232586828</v>
      </c>
      <c r="C478" s="4" t="s">
        <v>13</v>
      </c>
      <c r="D478" s="4" t="str">
        <f>"郑香"</f>
        <v>郑香</v>
      </c>
      <c r="E478" s="4" t="str">
        <f t="shared" si="20"/>
        <v>女</v>
      </c>
    </row>
    <row r="479" spans="1:5" ht="30" customHeight="1">
      <c r="A479" s="4">
        <v>477</v>
      </c>
      <c r="B479" s="4" t="str">
        <f>"39712022060309194887696"</f>
        <v>39712022060309194887696</v>
      </c>
      <c r="C479" s="4" t="s">
        <v>13</v>
      </c>
      <c r="D479" s="4" t="str">
        <f>"肖海晶"</f>
        <v>肖海晶</v>
      </c>
      <c r="E479" s="4" t="str">
        <f t="shared" si="20"/>
        <v>女</v>
      </c>
    </row>
    <row r="480" spans="1:5" ht="30" customHeight="1">
      <c r="A480" s="4">
        <v>478</v>
      </c>
      <c r="B480" s="4" t="str">
        <f>"39712022060309571287733"</f>
        <v>39712022060309571287733</v>
      </c>
      <c r="C480" s="4" t="s">
        <v>13</v>
      </c>
      <c r="D480" s="4" t="str">
        <f>"王柯莹"</f>
        <v>王柯莹</v>
      </c>
      <c r="E480" s="4" t="str">
        <f t="shared" si="20"/>
        <v>女</v>
      </c>
    </row>
    <row r="481" spans="1:5" ht="30" customHeight="1">
      <c r="A481" s="4">
        <v>479</v>
      </c>
      <c r="B481" s="4" t="str">
        <f>"39712022060312251487916"</f>
        <v>39712022060312251487916</v>
      </c>
      <c r="C481" s="4" t="s">
        <v>13</v>
      </c>
      <c r="D481" s="4" t="str">
        <f>"韩艺祺"</f>
        <v>韩艺祺</v>
      </c>
      <c r="E481" s="4" t="str">
        <f t="shared" si="20"/>
        <v>女</v>
      </c>
    </row>
    <row r="482" spans="1:5" ht="30" customHeight="1">
      <c r="A482" s="4">
        <v>480</v>
      </c>
      <c r="B482" s="4" t="str">
        <f>"39712022060315220588062"</f>
        <v>39712022060315220588062</v>
      </c>
      <c r="C482" s="4" t="s">
        <v>13</v>
      </c>
      <c r="D482" s="4" t="str">
        <f>"刘宝兰"</f>
        <v>刘宝兰</v>
      </c>
      <c r="E482" s="4" t="str">
        <f t="shared" si="20"/>
        <v>女</v>
      </c>
    </row>
    <row r="483" spans="1:5" ht="30" customHeight="1">
      <c r="A483" s="4">
        <v>481</v>
      </c>
      <c r="B483" s="4" t="str">
        <f>"39712022060320293088342"</f>
        <v>39712022060320293088342</v>
      </c>
      <c r="C483" s="4" t="s">
        <v>13</v>
      </c>
      <c r="D483" s="4" t="str">
        <f>"钟雅怡"</f>
        <v>钟雅怡</v>
      </c>
      <c r="E483" s="4" t="str">
        <f t="shared" si="20"/>
        <v>女</v>
      </c>
    </row>
    <row r="484" spans="1:5" ht="30" customHeight="1">
      <c r="A484" s="4">
        <v>482</v>
      </c>
      <c r="B484" s="4" t="str">
        <f>"39712022060321240488398"</f>
        <v>39712022060321240488398</v>
      </c>
      <c r="C484" s="4" t="s">
        <v>13</v>
      </c>
      <c r="D484" s="4" t="str">
        <f>"李响"</f>
        <v>李响</v>
      </c>
      <c r="E484" s="4" t="str">
        <f t="shared" si="20"/>
        <v>女</v>
      </c>
    </row>
    <row r="485" spans="1:5" ht="30" customHeight="1">
      <c r="A485" s="4">
        <v>483</v>
      </c>
      <c r="B485" s="4" t="str">
        <f>"39712022060323514588541"</f>
        <v>39712022060323514588541</v>
      </c>
      <c r="C485" s="4" t="s">
        <v>13</v>
      </c>
      <c r="D485" s="4" t="str">
        <f>"陈太汝"</f>
        <v>陈太汝</v>
      </c>
      <c r="E485" s="4" t="str">
        <f t="shared" si="20"/>
        <v>女</v>
      </c>
    </row>
    <row r="486" spans="1:5" ht="30" customHeight="1">
      <c r="A486" s="4">
        <v>484</v>
      </c>
      <c r="B486" s="4" t="str">
        <f>"39712022060416275689092"</f>
        <v>39712022060416275689092</v>
      </c>
      <c r="C486" s="4" t="s">
        <v>13</v>
      </c>
      <c r="D486" s="4" t="str">
        <f>"齐玲"</f>
        <v>齐玲</v>
      </c>
      <c r="E486" s="4" t="str">
        <f t="shared" si="20"/>
        <v>女</v>
      </c>
    </row>
    <row r="487" spans="1:5" ht="30" customHeight="1">
      <c r="A487" s="4">
        <v>485</v>
      </c>
      <c r="B487" s="4" t="str">
        <f>"39712022060416530389116"</f>
        <v>39712022060416530389116</v>
      </c>
      <c r="C487" s="4" t="s">
        <v>13</v>
      </c>
      <c r="D487" s="4" t="str">
        <f>"符名彬"</f>
        <v>符名彬</v>
      </c>
      <c r="E487" s="4" t="str">
        <f>"男"</f>
        <v>男</v>
      </c>
    </row>
    <row r="488" spans="1:5" ht="30" customHeight="1">
      <c r="A488" s="4">
        <v>486</v>
      </c>
      <c r="B488" s="4" t="str">
        <f>"39712022060420033689301"</f>
        <v>39712022060420033689301</v>
      </c>
      <c r="C488" s="4" t="s">
        <v>13</v>
      </c>
      <c r="D488" s="4" t="str">
        <f>"田园"</f>
        <v>田园</v>
      </c>
      <c r="E488" s="4" t="str">
        <f>"女"</f>
        <v>女</v>
      </c>
    </row>
    <row r="489" spans="1:5" ht="30" customHeight="1">
      <c r="A489" s="4">
        <v>487</v>
      </c>
      <c r="B489" s="4" t="str">
        <f>"39712022060521021990647"</f>
        <v>39712022060521021990647</v>
      </c>
      <c r="C489" s="4" t="s">
        <v>13</v>
      </c>
      <c r="D489" s="4" t="str">
        <f>"张雅雯"</f>
        <v>张雅雯</v>
      </c>
      <c r="E489" s="4" t="str">
        <f>"女"</f>
        <v>女</v>
      </c>
    </row>
    <row r="490" spans="1:5" ht="30" customHeight="1">
      <c r="A490" s="4">
        <v>488</v>
      </c>
      <c r="B490" s="4" t="str">
        <f>"39712022060611302895176"</f>
        <v>39712022060611302895176</v>
      </c>
      <c r="C490" s="4" t="s">
        <v>13</v>
      </c>
      <c r="D490" s="4" t="str">
        <f>"谢植思"</f>
        <v>谢植思</v>
      </c>
      <c r="E490" s="4" t="str">
        <f>"女"</f>
        <v>女</v>
      </c>
    </row>
    <row r="491" spans="1:5" ht="30" customHeight="1">
      <c r="A491" s="4">
        <v>489</v>
      </c>
      <c r="B491" s="4" t="str">
        <f>"397120220607095856103985"</f>
        <v>397120220607095856103985</v>
      </c>
      <c r="C491" s="4" t="s">
        <v>13</v>
      </c>
      <c r="D491" s="4" t="str">
        <f>"陈涛涛"</f>
        <v>陈涛涛</v>
      </c>
      <c r="E491" s="4" t="str">
        <f>"男"</f>
        <v>男</v>
      </c>
    </row>
    <row r="492" spans="1:5" ht="30" customHeight="1">
      <c r="A492" s="4">
        <v>490</v>
      </c>
      <c r="B492" s="4" t="str">
        <f>"397120220607132513106068"</f>
        <v>397120220607132513106068</v>
      </c>
      <c r="C492" s="4" t="s">
        <v>13</v>
      </c>
      <c r="D492" s="4" t="str">
        <f>"冯云霞"</f>
        <v>冯云霞</v>
      </c>
      <c r="E492" s="4" t="str">
        <f aca="true" t="shared" si="21" ref="E492:E498">"女"</f>
        <v>女</v>
      </c>
    </row>
    <row r="493" spans="1:5" ht="30" customHeight="1">
      <c r="A493" s="4">
        <v>491</v>
      </c>
      <c r="B493" s="4" t="str">
        <f>"397120220607204750109501"</f>
        <v>397120220607204750109501</v>
      </c>
      <c r="C493" s="4" t="s">
        <v>13</v>
      </c>
      <c r="D493" s="4" t="str">
        <f>"余鹤"</f>
        <v>余鹤</v>
      </c>
      <c r="E493" s="4" t="str">
        <f t="shared" si="21"/>
        <v>女</v>
      </c>
    </row>
    <row r="494" spans="1:5" ht="30" customHeight="1">
      <c r="A494" s="4">
        <v>492</v>
      </c>
      <c r="B494" s="4" t="str">
        <f>"397120220608112848112452"</f>
        <v>397120220608112848112452</v>
      </c>
      <c r="C494" s="4" t="s">
        <v>13</v>
      </c>
      <c r="D494" s="4" t="str">
        <f>"赵英含"</f>
        <v>赵英含</v>
      </c>
      <c r="E494" s="4" t="str">
        <f t="shared" si="21"/>
        <v>女</v>
      </c>
    </row>
    <row r="495" spans="1:5" ht="30" customHeight="1">
      <c r="A495" s="4">
        <v>493</v>
      </c>
      <c r="B495" s="4" t="str">
        <f>"39712022060110232378896"</f>
        <v>39712022060110232378896</v>
      </c>
      <c r="C495" s="4" t="s">
        <v>14</v>
      </c>
      <c r="D495" s="4" t="str">
        <f>"黄夏梦"</f>
        <v>黄夏梦</v>
      </c>
      <c r="E495" s="4" t="str">
        <f t="shared" si="21"/>
        <v>女</v>
      </c>
    </row>
    <row r="496" spans="1:5" ht="30" customHeight="1">
      <c r="A496" s="4">
        <v>494</v>
      </c>
      <c r="B496" s="4" t="str">
        <f>"39712022060110554679150"</f>
        <v>39712022060110554679150</v>
      </c>
      <c r="C496" s="4" t="s">
        <v>14</v>
      </c>
      <c r="D496" s="4" t="str">
        <f>"杨瑜"</f>
        <v>杨瑜</v>
      </c>
      <c r="E496" s="4" t="str">
        <f t="shared" si="21"/>
        <v>女</v>
      </c>
    </row>
    <row r="497" spans="1:5" ht="30" customHeight="1">
      <c r="A497" s="4">
        <v>495</v>
      </c>
      <c r="B497" s="4" t="str">
        <f>"39712022060112503979870"</f>
        <v>39712022060112503979870</v>
      </c>
      <c r="C497" s="4" t="s">
        <v>14</v>
      </c>
      <c r="D497" s="4" t="str">
        <f>"蔡亲曼"</f>
        <v>蔡亲曼</v>
      </c>
      <c r="E497" s="4" t="str">
        <f t="shared" si="21"/>
        <v>女</v>
      </c>
    </row>
    <row r="498" spans="1:5" ht="30" customHeight="1">
      <c r="A498" s="4">
        <v>496</v>
      </c>
      <c r="B498" s="4" t="str">
        <f>"39712022060113320180069"</f>
        <v>39712022060113320180069</v>
      </c>
      <c r="C498" s="4" t="s">
        <v>14</v>
      </c>
      <c r="D498" s="4" t="str">
        <f>"吴秋爱"</f>
        <v>吴秋爱</v>
      </c>
      <c r="E498" s="4" t="str">
        <f t="shared" si="21"/>
        <v>女</v>
      </c>
    </row>
    <row r="499" spans="1:5" ht="30" customHeight="1">
      <c r="A499" s="4">
        <v>497</v>
      </c>
      <c r="B499" s="4" t="str">
        <f>"39712022060119265081808"</f>
        <v>39712022060119265081808</v>
      </c>
      <c r="C499" s="4" t="s">
        <v>14</v>
      </c>
      <c r="D499" s="4" t="str">
        <f>"吴承忠"</f>
        <v>吴承忠</v>
      </c>
      <c r="E499" s="4" t="str">
        <f>"男"</f>
        <v>男</v>
      </c>
    </row>
    <row r="500" spans="1:5" ht="30" customHeight="1">
      <c r="A500" s="4">
        <v>498</v>
      </c>
      <c r="B500" s="4" t="str">
        <f>"39712022060209260883697"</f>
        <v>39712022060209260883697</v>
      </c>
      <c r="C500" s="4" t="s">
        <v>14</v>
      </c>
      <c r="D500" s="4" t="str">
        <f>"顾育康"</f>
        <v>顾育康</v>
      </c>
      <c r="E500" s="4" t="str">
        <f>"男"</f>
        <v>男</v>
      </c>
    </row>
    <row r="501" spans="1:5" ht="30" customHeight="1">
      <c r="A501" s="4">
        <v>499</v>
      </c>
      <c r="B501" s="4" t="str">
        <f>"39712022060211482384713"</f>
        <v>39712022060211482384713</v>
      </c>
      <c r="C501" s="4" t="s">
        <v>14</v>
      </c>
      <c r="D501" s="4" t="str">
        <f>"罗丹"</f>
        <v>罗丹</v>
      </c>
      <c r="E501" s="4" t="str">
        <f aca="true" t="shared" si="22" ref="E501:E518">"女"</f>
        <v>女</v>
      </c>
    </row>
    <row r="502" spans="1:5" ht="30" customHeight="1">
      <c r="A502" s="4">
        <v>500</v>
      </c>
      <c r="B502" s="4" t="str">
        <f>"39712022060216265386166"</f>
        <v>39712022060216265386166</v>
      </c>
      <c r="C502" s="4" t="s">
        <v>14</v>
      </c>
      <c r="D502" s="4" t="str">
        <f>"梁译艺"</f>
        <v>梁译艺</v>
      </c>
      <c r="E502" s="4" t="str">
        <f t="shared" si="22"/>
        <v>女</v>
      </c>
    </row>
    <row r="503" spans="1:5" ht="30" customHeight="1">
      <c r="A503" s="4">
        <v>501</v>
      </c>
      <c r="B503" s="4" t="str">
        <f>"39712022060217524486540"</f>
        <v>39712022060217524486540</v>
      </c>
      <c r="C503" s="4" t="s">
        <v>14</v>
      </c>
      <c r="D503" s="4" t="str">
        <f>"邢燕"</f>
        <v>邢燕</v>
      </c>
      <c r="E503" s="4" t="str">
        <f t="shared" si="22"/>
        <v>女</v>
      </c>
    </row>
    <row r="504" spans="1:5" ht="30" customHeight="1">
      <c r="A504" s="4">
        <v>502</v>
      </c>
      <c r="B504" s="4" t="str">
        <f>"39712022060219023986770"</f>
        <v>39712022060219023986770</v>
      </c>
      <c r="C504" s="4" t="s">
        <v>14</v>
      </c>
      <c r="D504" s="4" t="str">
        <f>"段晓帆"</f>
        <v>段晓帆</v>
      </c>
      <c r="E504" s="4" t="str">
        <f t="shared" si="22"/>
        <v>女</v>
      </c>
    </row>
    <row r="505" spans="1:5" ht="30" customHeight="1">
      <c r="A505" s="4">
        <v>503</v>
      </c>
      <c r="B505" s="4" t="str">
        <f>"39712022060220350787014"</f>
        <v>39712022060220350787014</v>
      </c>
      <c r="C505" s="4" t="s">
        <v>14</v>
      </c>
      <c r="D505" s="4" t="str">
        <f>"李欣鞠"</f>
        <v>李欣鞠</v>
      </c>
      <c r="E505" s="4" t="str">
        <f t="shared" si="22"/>
        <v>女</v>
      </c>
    </row>
    <row r="506" spans="1:5" ht="30" customHeight="1">
      <c r="A506" s="4">
        <v>504</v>
      </c>
      <c r="B506" s="4" t="str">
        <f>"39712022060311395687863"</f>
        <v>39712022060311395687863</v>
      </c>
      <c r="C506" s="4" t="s">
        <v>14</v>
      </c>
      <c r="D506" s="4" t="str">
        <f>"孙丽香"</f>
        <v>孙丽香</v>
      </c>
      <c r="E506" s="4" t="str">
        <f t="shared" si="22"/>
        <v>女</v>
      </c>
    </row>
    <row r="507" spans="1:5" ht="30" customHeight="1">
      <c r="A507" s="4">
        <v>505</v>
      </c>
      <c r="B507" s="4" t="str">
        <f>"39712022060316563688149"</f>
        <v>39712022060316563688149</v>
      </c>
      <c r="C507" s="4" t="s">
        <v>14</v>
      </c>
      <c r="D507" s="4" t="str">
        <f>"王玉珠"</f>
        <v>王玉珠</v>
      </c>
      <c r="E507" s="4" t="str">
        <f t="shared" si="22"/>
        <v>女</v>
      </c>
    </row>
    <row r="508" spans="1:5" ht="30" customHeight="1">
      <c r="A508" s="4">
        <v>506</v>
      </c>
      <c r="B508" s="4" t="str">
        <f>"39712022060321122288389"</f>
        <v>39712022060321122288389</v>
      </c>
      <c r="C508" s="4" t="s">
        <v>14</v>
      </c>
      <c r="D508" s="4" t="str">
        <f>"符荣芝"</f>
        <v>符荣芝</v>
      </c>
      <c r="E508" s="4" t="str">
        <f t="shared" si="22"/>
        <v>女</v>
      </c>
    </row>
    <row r="509" spans="1:5" ht="30" customHeight="1">
      <c r="A509" s="4">
        <v>507</v>
      </c>
      <c r="B509" s="4" t="str">
        <f>"39712022060415204289015"</f>
        <v>39712022060415204289015</v>
      </c>
      <c r="C509" s="4" t="s">
        <v>14</v>
      </c>
      <c r="D509" s="4" t="str">
        <f>"吴晓霞"</f>
        <v>吴晓霞</v>
      </c>
      <c r="E509" s="4" t="str">
        <f t="shared" si="22"/>
        <v>女</v>
      </c>
    </row>
    <row r="510" spans="1:5" ht="30" customHeight="1">
      <c r="A510" s="4">
        <v>508</v>
      </c>
      <c r="B510" s="4" t="str">
        <f>"39712022060416385289105"</f>
        <v>39712022060416385289105</v>
      </c>
      <c r="C510" s="4" t="s">
        <v>14</v>
      </c>
      <c r="D510" s="4" t="str">
        <f>"陈彩逸"</f>
        <v>陈彩逸</v>
      </c>
      <c r="E510" s="4" t="str">
        <f t="shared" si="22"/>
        <v>女</v>
      </c>
    </row>
    <row r="511" spans="1:5" ht="30" customHeight="1">
      <c r="A511" s="4">
        <v>509</v>
      </c>
      <c r="B511" s="4" t="str">
        <f>"39712022060422244689455"</f>
        <v>39712022060422244689455</v>
      </c>
      <c r="C511" s="4" t="s">
        <v>14</v>
      </c>
      <c r="D511" s="4" t="str">
        <f>"卢英楠"</f>
        <v>卢英楠</v>
      </c>
      <c r="E511" s="4" t="str">
        <f t="shared" si="22"/>
        <v>女</v>
      </c>
    </row>
    <row r="512" spans="1:5" ht="30" customHeight="1">
      <c r="A512" s="4">
        <v>510</v>
      </c>
      <c r="B512" s="4" t="str">
        <f>"39712022060423163589511"</f>
        <v>39712022060423163589511</v>
      </c>
      <c r="C512" s="4" t="s">
        <v>14</v>
      </c>
      <c r="D512" s="4" t="str">
        <f>"李挚爱"</f>
        <v>李挚爱</v>
      </c>
      <c r="E512" s="4" t="str">
        <f t="shared" si="22"/>
        <v>女</v>
      </c>
    </row>
    <row r="513" spans="1:5" ht="30" customHeight="1">
      <c r="A513" s="4">
        <v>511</v>
      </c>
      <c r="B513" s="4" t="str">
        <f>"39712022060511384889906"</f>
        <v>39712022060511384889906</v>
      </c>
      <c r="C513" s="4" t="s">
        <v>14</v>
      </c>
      <c r="D513" s="4" t="str">
        <f>"陈钟欢"</f>
        <v>陈钟欢</v>
      </c>
      <c r="E513" s="4" t="str">
        <f t="shared" si="22"/>
        <v>女</v>
      </c>
    </row>
    <row r="514" spans="1:5" ht="30" customHeight="1">
      <c r="A514" s="4">
        <v>512</v>
      </c>
      <c r="B514" s="4" t="str">
        <f>"39712022060520402290621"</f>
        <v>39712022060520402290621</v>
      </c>
      <c r="C514" s="4" t="s">
        <v>14</v>
      </c>
      <c r="D514" s="4" t="str">
        <f>"林发坤"</f>
        <v>林发坤</v>
      </c>
      <c r="E514" s="4" t="str">
        <f t="shared" si="22"/>
        <v>女</v>
      </c>
    </row>
    <row r="515" spans="1:5" ht="30" customHeight="1">
      <c r="A515" s="4">
        <v>513</v>
      </c>
      <c r="B515" s="4" t="str">
        <f>"39712022060611005994621"</f>
        <v>39712022060611005994621</v>
      </c>
      <c r="C515" s="4" t="s">
        <v>14</v>
      </c>
      <c r="D515" s="4" t="str">
        <f>"周云莉"</f>
        <v>周云莉</v>
      </c>
      <c r="E515" s="4" t="str">
        <f t="shared" si="22"/>
        <v>女</v>
      </c>
    </row>
    <row r="516" spans="1:5" ht="30" customHeight="1">
      <c r="A516" s="4">
        <v>514</v>
      </c>
      <c r="B516" s="4" t="str">
        <f>"397120220607143107106488"</f>
        <v>397120220607143107106488</v>
      </c>
      <c r="C516" s="4" t="s">
        <v>14</v>
      </c>
      <c r="D516" s="4" t="str">
        <f>"许玉娟"</f>
        <v>许玉娟</v>
      </c>
      <c r="E516" s="4" t="str">
        <f t="shared" si="22"/>
        <v>女</v>
      </c>
    </row>
    <row r="517" spans="1:5" ht="30" customHeight="1">
      <c r="A517" s="4">
        <v>515</v>
      </c>
      <c r="B517" s="4" t="str">
        <f>"397120220607160927107498"</f>
        <v>397120220607160927107498</v>
      </c>
      <c r="C517" s="4" t="s">
        <v>14</v>
      </c>
      <c r="D517" s="4" t="str">
        <f>"徐金转"</f>
        <v>徐金转</v>
      </c>
      <c r="E517" s="4" t="str">
        <f t="shared" si="22"/>
        <v>女</v>
      </c>
    </row>
    <row r="518" spans="1:5" ht="30" customHeight="1">
      <c r="A518" s="4">
        <v>516</v>
      </c>
      <c r="B518" s="4" t="str">
        <f>"397120220608101006111771"</f>
        <v>397120220608101006111771</v>
      </c>
      <c r="C518" s="4" t="s">
        <v>14</v>
      </c>
      <c r="D518" s="4" t="str">
        <f>"邓冠香"</f>
        <v>邓冠香</v>
      </c>
      <c r="E518" s="4" t="str">
        <f t="shared" si="22"/>
        <v>女</v>
      </c>
    </row>
    <row r="519" spans="1:5" ht="30" customHeight="1">
      <c r="A519" s="4">
        <v>517</v>
      </c>
      <c r="B519" s="4" t="str">
        <f>"39712022060109250078409"</f>
        <v>39712022060109250078409</v>
      </c>
      <c r="C519" s="4" t="s">
        <v>15</v>
      </c>
      <c r="D519" s="4" t="str">
        <f>"文继培"</f>
        <v>文继培</v>
      </c>
      <c r="E519" s="4" t="str">
        <f>"男"</f>
        <v>男</v>
      </c>
    </row>
    <row r="520" spans="1:5" ht="30" customHeight="1">
      <c r="A520" s="4">
        <v>518</v>
      </c>
      <c r="B520" s="4" t="str">
        <f>"39712022060110271078931"</f>
        <v>39712022060110271078931</v>
      </c>
      <c r="C520" s="4" t="s">
        <v>15</v>
      </c>
      <c r="D520" s="4" t="str">
        <f>"谢少远"</f>
        <v>谢少远</v>
      </c>
      <c r="E520" s="4" t="str">
        <f aca="true" t="shared" si="23" ref="E520:E527">"女"</f>
        <v>女</v>
      </c>
    </row>
    <row r="521" spans="1:5" ht="30" customHeight="1">
      <c r="A521" s="4">
        <v>519</v>
      </c>
      <c r="B521" s="4" t="str">
        <f>"39712022060112293579753"</f>
        <v>39712022060112293579753</v>
      </c>
      <c r="C521" s="4" t="s">
        <v>15</v>
      </c>
      <c r="D521" s="4" t="str">
        <f>"孙婷婷"</f>
        <v>孙婷婷</v>
      </c>
      <c r="E521" s="4" t="str">
        <f t="shared" si="23"/>
        <v>女</v>
      </c>
    </row>
    <row r="522" spans="1:5" ht="30" customHeight="1">
      <c r="A522" s="4">
        <v>520</v>
      </c>
      <c r="B522" s="4" t="str">
        <f>"39712022060113205780019"</f>
        <v>39712022060113205780019</v>
      </c>
      <c r="C522" s="4" t="s">
        <v>15</v>
      </c>
      <c r="D522" s="4" t="str">
        <f>"叶秋雅"</f>
        <v>叶秋雅</v>
      </c>
      <c r="E522" s="4" t="str">
        <f t="shared" si="23"/>
        <v>女</v>
      </c>
    </row>
    <row r="523" spans="1:5" ht="30" customHeight="1">
      <c r="A523" s="4">
        <v>521</v>
      </c>
      <c r="B523" s="4" t="str">
        <f>"39712022060116065880837"</f>
        <v>39712022060116065880837</v>
      </c>
      <c r="C523" s="4" t="s">
        <v>15</v>
      </c>
      <c r="D523" s="4" t="str">
        <f>"李元琴"</f>
        <v>李元琴</v>
      </c>
      <c r="E523" s="4" t="str">
        <f t="shared" si="23"/>
        <v>女</v>
      </c>
    </row>
    <row r="524" spans="1:5" ht="30" customHeight="1">
      <c r="A524" s="4">
        <v>522</v>
      </c>
      <c r="B524" s="4" t="str">
        <f>"39712022060119061081729"</f>
        <v>39712022060119061081729</v>
      </c>
      <c r="C524" s="4" t="s">
        <v>15</v>
      </c>
      <c r="D524" s="4" t="str">
        <f>"方金灵"</f>
        <v>方金灵</v>
      </c>
      <c r="E524" s="4" t="str">
        <f t="shared" si="23"/>
        <v>女</v>
      </c>
    </row>
    <row r="525" spans="1:5" ht="30" customHeight="1">
      <c r="A525" s="4">
        <v>523</v>
      </c>
      <c r="B525" s="4" t="str">
        <f>"39712022060121553782534"</f>
        <v>39712022060121553782534</v>
      </c>
      <c r="C525" s="4" t="s">
        <v>15</v>
      </c>
      <c r="D525" s="4" t="str">
        <f>"钟顺霞"</f>
        <v>钟顺霞</v>
      </c>
      <c r="E525" s="4" t="str">
        <f t="shared" si="23"/>
        <v>女</v>
      </c>
    </row>
    <row r="526" spans="1:5" ht="30" customHeight="1">
      <c r="A526" s="4">
        <v>524</v>
      </c>
      <c r="B526" s="4" t="str">
        <f>"39712022060122310582723"</f>
        <v>39712022060122310582723</v>
      </c>
      <c r="C526" s="4" t="s">
        <v>15</v>
      </c>
      <c r="D526" s="4" t="str">
        <f>"吴江文"</f>
        <v>吴江文</v>
      </c>
      <c r="E526" s="4" t="str">
        <f t="shared" si="23"/>
        <v>女</v>
      </c>
    </row>
    <row r="527" spans="1:5" ht="30" customHeight="1">
      <c r="A527" s="4">
        <v>525</v>
      </c>
      <c r="B527" s="4" t="str">
        <f>"39712022060209025383517"</f>
        <v>39712022060209025383517</v>
      </c>
      <c r="C527" s="4" t="s">
        <v>15</v>
      </c>
      <c r="D527" s="4" t="str">
        <f>"秦丁婷"</f>
        <v>秦丁婷</v>
      </c>
      <c r="E527" s="4" t="str">
        <f t="shared" si="23"/>
        <v>女</v>
      </c>
    </row>
    <row r="528" spans="1:5" ht="30" customHeight="1">
      <c r="A528" s="4">
        <v>526</v>
      </c>
      <c r="B528" s="4" t="str">
        <f>"39712022060210005083950"</f>
        <v>39712022060210005083950</v>
      </c>
      <c r="C528" s="4" t="s">
        <v>15</v>
      </c>
      <c r="D528" s="4" t="str">
        <f>"詹幸东"</f>
        <v>詹幸东</v>
      </c>
      <c r="E528" s="4" t="str">
        <f>"男"</f>
        <v>男</v>
      </c>
    </row>
    <row r="529" spans="1:5" ht="30" customHeight="1">
      <c r="A529" s="4">
        <v>527</v>
      </c>
      <c r="B529" s="4" t="str">
        <f>"39712022060212291284927"</f>
        <v>39712022060212291284927</v>
      </c>
      <c r="C529" s="4" t="s">
        <v>15</v>
      </c>
      <c r="D529" s="4" t="str">
        <f>"林声坤"</f>
        <v>林声坤</v>
      </c>
      <c r="E529" s="4" t="str">
        <f>"男"</f>
        <v>男</v>
      </c>
    </row>
    <row r="530" spans="1:5" ht="30" customHeight="1">
      <c r="A530" s="4">
        <v>528</v>
      </c>
      <c r="B530" s="4" t="str">
        <f>"39712022060215491385942"</f>
        <v>39712022060215491385942</v>
      </c>
      <c r="C530" s="4" t="s">
        <v>15</v>
      </c>
      <c r="D530" s="4" t="str">
        <f>"赵广"</f>
        <v>赵广</v>
      </c>
      <c r="E530" s="4" t="str">
        <f>"男"</f>
        <v>男</v>
      </c>
    </row>
    <row r="531" spans="1:5" ht="30" customHeight="1">
      <c r="A531" s="4">
        <v>529</v>
      </c>
      <c r="B531" s="4" t="str">
        <f>"39712022060216360086204"</f>
        <v>39712022060216360086204</v>
      </c>
      <c r="C531" s="4" t="s">
        <v>15</v>
      </c>
      <c r="D531" s="4" t="str">
        <f>"梁振首"</f>
        <v>梁振首</v>
      </c>
      <c r="E531" s="4" t="str">
        <f>"男"</f>
        <v>男</v>
      </c>
    </row>
    <row r="532" spans="1:5" ht="30" customHeight="1">
      <c r="A532" s="4">
        <v>530</v>
      </c>
      <c r="B532" s="4" t="str">
        <f>"39712022060216520386276"</f>
        <v>39712022060216520386276</v>
      </c>
      <c r="C532" s="4" t="s">
        <v>15</v>
      </c>
      <c r="D532" s="4" t="str">
        <f>"王丽婷"</f>
        <v>王丽婷</v>
      </c>
      <c r="E532" s="4" t="str">
        <f>"女"</f>
        <v>女</v>
      </c>
    </row>
    <row r="533" spans="1:5" ht="30" customHeight="1">
      <c r="A533" s="4">
        <v>531</v>
      </c>
      <c r="B533" s="4" t="str">
        <f>"39712022060219105786796"</f>
        <v>39712022060219105786796</v>
      </c>
      <c r="C533" s="4" t="s">
        <v>15</v>
      </c>
      <c r="D533" s="4" t="str">
        <f>"陈龙飞"</f>
        <v>陈龙飞</v>
      </c>
      <c r="E533" s="4" t="str">
        <f>"男"</f>
        <v>男</v>
      </c>
    </row>
    <row r="534" spans="1:5" ht="30" customHeight="1">
      <c r="A534" s="4">
        <v>532</v>
      </c>
      <c r="B534" s="4" t="str">
        <f>"39712022060219152286802"</f>
        <v>39712022060219152286802</v>
      </c>
      <c r="C534" s="4" t="s">
        <v>15</v>
      </c>
      <c r="D534" s="4" t="str">
        <f>"芶大恩"</f>
        <v>芶大恩</v>
      </c>
      <c r="E534" s="4" t="str">
        <f>"男"</f>
        <v>男</v>
      </c>
    </row>
    <row r="535" spans="1:5" ht="30" customHeight="1">
      <c r="A535" s="4">
        <v>533</v>
      </c>
      <c r="B535" s="4" t="str">
        <f>"39712022060222112687335"</f>
        <v>39712022060222112687335</v>
      </c>
      <c r="C535" s="4" t="s">
        <v>15</v>
      </c>
      <c r="D535" s="4" t="str">
        <f>"韩思远"</f>
        <v>韩思远</v>
      </c>
      <c r="E535" s="4" t="str">
        <f>"男"</f>
        <v>男</v>
      </c>
    </row>
    <row r="536" spans="1:5" ht="30" customHeight="1">
      <c r="A536" s="4">
        <v>534</v>
      </c>
      <c r="B536" s="4" t="str">
        <f>"39712022060310032987740"</f>
        <v>39712022060310032987740</v>
      </c>
      <c r="C536" s="4" t="s">
        <v>15</v>
      </c>
      <c r="D536" s="4" t="str">
        <f>"林美伶"</f>
        <v>林美伶</v>
      </c>
      <c r="E536" s="4" t="str">
        <f aca="true" t="shared" si="24" ref="E536:E545">"女"</f>
        <v>女</v>
      </c>
    </row>
    <row r="537" spans="1:5" ht="30" customHeight="1">
      <c r="A537" s="4">
        <v>535</v>
      </c>
      <c r="B537" s="4" t="str">
        <f>"39712022060311444587867"</f>
        <v>39712022060311444587867</v>
      </c>
      <c r="C537" s="4" t="s">
        <v>15</v>
      </c>
      <c r="D537" s="4" t="str">
        <f>"王带儿"</f>
        <v>王带儿</v>
      </c>
      <c r="E537" s="4" t="str">
        <f t="shared" si="24"/>
        <v>女</v>
      </c>
    </row>
    <row r="538" spans="1:5" ht="30" customHeight="1">
      <c r="A538" s="4">
        <v>536</v>
      </c>
      <c r="B538" s="4" t="str">
        <f>"39712022060312045287890"</f>
        <v>39712022060312045287890</v>
      </c>
      <c r="C538" s="4" t="s">
        <v>15</v>
      </c>
      <c r="D538" s="4" t="str">
        <f>"吕杰"</f>
        <v>吕杰</v>
      </c>
      <c r="E538" s="4" t="str">
        <f t="shared" si="24"/>
        <v>女</v>
      </c>
    </row>
    <row r="539" spans="1:5" ht="30" customHeight="1">
      <c r="A539" s="4">
        <v>537</v>
      </c>
      <c r="B539" s="4" t="str">
        <f>"39712022060315370688077"</f>
        <v>39712022060315370688077</v>
      </c>
      <c r="C539" s="4" t="s">
        <v>15</v>
      </c>
      <c r="D539" s="4" t="str">
        <f>"刘玲叶"</f>
        <v>刘玲叶</v>
      </c>
      <c r="E539" s="4" t="str">
        <f t="shared" si="24"/>
        <v>女</v>
      </c>
    </row>
    <row r="540" spans="1:5" ht="30" customHeight="1">
      <c r="A540" s="4">
        <v>538</v>
      </c>
      <c r="B540" s="4" t="str">
        <f>"39712022060316044388109"</f>
        <v>39712022060316044388109</v>
      </c>
      <c r="C540" s="4" t="s">
        <v>15</v>
      </c>
      <c r="D540" s="4" t="str">
        <f>"艾姣"</f>
        <v>艾姣</v>
      </c>
      <c r="E540" s="4" t="str">
        <f t="shared" si="24"/>
        <v>女</v>
      </c>
    </row>
    <row r="541" spans="1:5" ht="30" customHeight="1">
      <c r="A541" s="4">
        <v>539</v>
      </c>
      <c r="B541" s="4" t="str">
        <f>"39712022060318484488258"</f>
        <v>39712022060318484488258</v>
      </c>
      <c r="C541" s="4" t="s">
        <v>15</v>
      </c>
      <c r="D541" s="4" t="str">
        <f>"贾思缘"</f>
        <v>贾思缘</v>
      </c>
      <c r="E541" s="4" t="str">
        <f t="shared" si="24"/>
        <v>女</v>
      </c>
    </row>
    <row r="542" spans="1:5" ht="30" customHeight="1">
      <c r="A542" s="4">
        <v>540</v>
      </c>
      <c r="B542" s="4" t="str">
        <f>"39712022060411111988790"</f>
        <v>39712022060411111988790</v>
      </c>
      <c r="C542" s="4" t="s">
        <v>15</v>
      </c>
      <c r="D542" s="4" t="str">
        <f>"陈思静"</f>
        <v>陈思静</v>
      </c>
      <c r="E542" s="4" t="str">
        <f t="shared" si="24"/>
        <v>女</v>
      </c>
    </row>
    <row r="543" spans="1:5" ht="30" customHeight="1">
      <c r="A543" s="4">
        <v>541</v>
      </c>
      <c r="B543" s="4" t="str">
        <f>"39712022060423224789517"</f>
        <v>39712022060423224789517</v>
      </c>
      <c r="C543" s="4" t="s">
        <v>15</v>
      </c>
      <c r="D543" s="4" t="str">
        <f>"黎彩宝"</f>
        <v>黎彩宝</v>
      </c>
      <c r="E543" s="4" t="str">
        <f t="shared" si="24"/>
        <v>女</v>
      </c>
    </row>
    <row r="544" spans="1:5" ht="30" customHeight="1">
      <c r="A544" s="4">
        <v>542</v>
      </c>
      <c r="B544" s="4" t="str">
        <f>"39712022060423505589539"</f>
        <v>39712022060423505589539</v>
      </c>
      <c r="C544" s="4" t="s">
        <v>15</v>
      </c>
      <c r="D544" s="4" t="str">
        <f>"陈梅芳"</f>
        <v>陈梅芳</v>
      </c>
      <c r="E544" s="4" t="str">
        <f t="shared" si="24"/>
        <v>女</v>
      </c>
    </row>
    <row r="545" spans="1:5" ht="30" customHeight="1">
      <c r="A545" s="4">
        <v>543</v>
      </c>
      <c r="B545" s="4" t="str">
        <f>"39712022060423512489541"</f>
        <v>39712022060423512489541</v>
      </c>
      <c r="C545" s="4" t="s">
        <v>15</v>
      </c>
      <c r="D545" s="4" t="str">
        <f>"陈玉换"</f>
        <v>陈玉换</v>
      </c>
      <c r="E545" s="4" t="str">
        <f t="shared" si="24"/>
        <v>女</v>
      </c>
    </row>
    <row r="546" spans="1:5" ht="30" customHeight="1">
      <c r="A546" s="4">
        <v>544</v>
      </c>
      <c r="B546" s="4" t="str">
        <f>"39712022060515545190224"</f>
        <v>39712022060515545190224</v>
      </c>
      <c r="C546" s="4" t="s">
        <v>15</v>
      </c>
      <c r="D546" s="4" t="str">
        <f>"田新宇"</f>
        <v>田新宇</v>
      </c>
      <c r="E546" s="4" t="str">
        <f>"男"</f>
        <v>男</v>
      </c>
    </row>
    <row r="547" spans="1:5" ht="30" customHeight="1">
      <c r="A547" s="4">
        <v>545</v>
      </c>
      <c r="B547" s="4" t="str">
        <f>"39712022060518104890430"</f>
        <v>39712022060518104890430</v>
      </c>
      <c r="C547" s="4" t="s">
        <v>15</v>
      </c>
      <c r="D547" s="4" t="str">
        <f>"王伟华"</f>
        <v>王伟华</v>
      </c>
      <c r="E547" s="4" t="str">
        <f>"女"</f>
        <v>女</v>
      </c>
    </row>
    <row r="548" spans="1:5" ht="30" customHeight="1">
      <c r="A548" s="4">
        <v>546</v>
      </c>
      <c r="B548" s="4" t="str">
        <f>"39712022060523281290950"</f>
        <v>39712022060523281290950</v>
      </c>
      <c r="C548" s="4" t="s">
        <v>15</v>
      </c>
      <c r="D548" s="4" t="str">
        <f>"蔡知锦"</f>
        <v>蔡知锦</v>
      </c>
      <c r="E548" s="4" t="str">
        <f>"男"</f>
        <v>男</v>
      </c>
    </row>
    <row r="549" spans="1:5" ht="30" customHeight="1">
      <c r="A549" s="4">
        <v>547</v>
      </c>
      <c r="B549" s="4" t="str">
        <f>"39712022060610161193550"</f>
        <v>39712022060610161193550</v>
      </c>
      <c r="C549" s="4" t="s">
        <v>15</v>
      </c>
      <c r="D549" s="4" t="str">
        <f>"熊润芝"</f>
        <v>熊润芝</v>
      </c>
      <c r="E549" s="4" t="str">
        <f aca="true" t="shared" si="25" ref="E549:E555">"女"</f>
        <v>女</v>
      </c>
    </row>
    <row r="550" spans="1:5" ht="30" customHeight="1">
      <c r="A550" s="4">
        <v>548</v>
      </c>
      <c r="B550" s="4" t="str">
        <f>"39712022060611101294809"</f>
        <v>39712022060611101294809</v>
      </c>
      <c r="C550" s="4" t="s">
        <v>15</v>
      </c>
      <c r="D550" s="4" t="str">
        <f>"文晓慧"</f>
        <v>文晓慧</v>
      </c>
      <c r="E550" s="4" t="str">
        <f t="shared" si="25"/>
        <v>女</v>
      </c>
    </row>
    <row r="551" spans="1:5" ht="30" customHeight="1">
      <c r="A551" s="4">
        <v>549</v>
      </c>
      <c r="B551" s="4" t="str">
        <f>"39712022060611551595574"</f>
        <v>39712022060611551595574</v>
      </c>
      <c r="C551" s="4" t="s">
        <v>15</v>
      </c>
      <c r="D551" s="4" t="str">
        <f>"林月星"</f>
        <v>林月星</v>
      </c>
      <c r="E551" s="4" t="str">
        <f t="shared" si="25"/>
        <v>女</v>
      </c>
    </row>
    <row r="552" spans="1:5" ht="30" customHeight="1">
      <c r="A552" s="4">
        <v>550</v>
      </c>
      <c r="B552" s="4" t="str">
        <f>"39712022060613285396594"</f>
        <v>39712022060613285396594</v>
      </c>
      <c r="C552" s="4" t="s">
        <v>15</v>
      </c>
      <c r="D552" s="4" t="str">
        <f>"邱慧旋"</f>
        <v>邱慧旋</v>
      </c>
      <c r="E552" s="4" t="str">
        <f t="shared" si="25"/>
        <v>女</v>
      </c>
    </row>
    <row r="553" spans="1:5" ht="30" customHeight="1">
      <c r="A553" s="4">
        <v>551</v>
      </c>
      <c r="B553" s="4" t="str">
        <f>"39712022060614592697487"</f>
        <v>39712022060614592697487</v>
      </c>
      <c r="C553" s="4" t="s">
        <v>15</v>
      </c>
      <c r="D553" s="4" t="str">
        <f>"陈泽莹"</f>
        <v>陈泽莹</v>
      </c>
      <c r="E553" s="4" t="str">
        <f t="shared" si="25"/>
        <v>女</v>
      </c>
    </row>
    <row r="554" spans="1:5" ht="30" customHeight="1">
      <c r="A554" s="4">
        <v>552</v>
      </c>
      <c r="B554" s="4" t="str">
        <f>"39712022060615533198230"</f>
        <v>39712022060615533198230</v>
      </c>
      <c r="C554" s="4" t="s">
        <v>15</v>
      </c>
      <c r="D554" s="4" t="str">
        <f>"李珍"</f>
        <v>李珍</v>
      </c>
      <c r="E554" s="4" t="str">
        <f t="shared" si="25"/>
        <v>女</v>
      </c>
    </row>
    <row r="555" spans="1:5" ht="30" customHeight="1">
      <c r="A555" s="4">
        <v>553</v>
      </c>
      <c r="B555" s="4" t="str">
        <f>"397120220606221601101810"</f>
        <v>397120220606221601101810</v>
      </c>
      <c r="C555" s="4" t="s">
        <v>15</v>
      </c>
      <c r="D555" s="4" t="str">
        <f>"陈柔冰"</f>
        <v>陈柔冰</v>
      </c>
      <c r="E555" s="4" t="str">
        <f t="shared" si="25"/>
        <v>女</v>
      </c>
    </row>
    <row r="556" spans="1:5" ht="30" customHeight="1">
      <c r="A556" s="4">
        <v>554</v>
      </c>
      <c r="B556" s="4" t="str">
        <f>"397120220607102728104377"</f>
        <v>397120220607102728104377</v>
      </c>
      <c r="C556" s="4" t="s">
        <v>15</v>
      </c>
      <c r="D556" s="4" t="str">
        <f>"张基华"</f>
        <v>张基华</v>
      </c>
      <c r="E556" s="4" t="str">
        <f>"男"</f>
        <v>男</v>
      </c>
    </row>
    <row r="557" spans="1:5" ht="30" customHeight="1">
      <c r="A557" s="4">
        <v>555</v>
      </c>
      <c r="B557" s="4" t="str">
        <f>"397120220607132629106077"</f>
        <v>397120220607132629106077</v>
      </c>
      <c r="C557" s="4" t="s">
        <v>15</v>
      </c>
      <c r="D557" s="4" t="str">
        <f>"王冰"</f>
        <v>王冰</v>
      </c>
      <c r="E557" s="4" t="str">
        <f aca="true" t="shared" si="26" ref="E557:E563">"女"</f>
        <v>女</v>
      </c>
    </row>
    <row r="558" spans="1:5" ht="30" customHeight="1">
      <c r="A558" s="4">
        <v>556</v>
      </c>
      <c r="B558" s="4" t="str">
        <f>"397120220607184258108741"</f>
        <v>397120220607184258108741</v>
      </c>
      <c r="C558" s="4" t="s">
        <v>15</v>
      </c>
      <c r="D558" s="4" t="str">
        <f>"吴涓"</f>
        <v>吴涓</v>
      </c>
      <c r="E558" s="4" t="str">
        <f t="shared" si="26"/>
        <v>女</v>
      </c>
    </row>
    <row r="559" spans="1:5" ht="30" customHeight="1">
      <c r="A559" s="4">
        <v>557</v>
      </c>
      <c r="B559" s="4" t="str">
        <f>"397120220607194724109123"</f>
        <v>397120220607194724109123</v>
      </c>
      <c r="C559" s="4" t="s">
        <v>15</v>
      </c>
      <c r="D559" s="4" t="str">
        <f>"刘惠欣"</f>
        <v>刘惠欣</v>
      </c>
      <c r="E559" s="4" t="str">
        <f t="shared" si="26"/>
        <v>女</v>
      </c>
    </row>
    <row r="560" spans="1:5" ht="30" customHeight="1">
      <c r="A560" s="4">
        <v>558</v>
      </c>
      <c r="B560" s="4" t="str">
        <f>"397120220608070950110800"</f>
        <v>397120220608070950110800</v>
      </c>
      <c r="C560" s="4" t="s">
        <v>15</v>
      </c>
      <c r="D560" s="4" t="str">
        <f>"王宇航"</f>
        <v>王宇航</v>
      </c>
      <c r="E560" s="4" t="str">
        <f t="shared" si="26"/>
        <v>女</v>
      </c>
    </row>
    <row r="561" spans="1:5" ht="30" customHeight="1">
      <c r="A561" s="4">
        <v>559</v>
      </c>
      <c r="B561" s="4" t="str">
        <f>"39712022060109395078534"</f>
        <v>39712022060109395078534</v>
      </c>
      <c r="C561" s="4" t="s">
        <v>16</v>
      </c>
      <c r="D561" s="4" t="str">
        <f>"杨冰霜"</f>
        <v>杨冰霜</v>
      </c>
      <c r="E561" s="4" t="str">
        <f t="shared" si="26"/>
        <v>女</v>
      </c>
    </row>
    <row r="562" spans="1:5" ht="30" customHeight="1">
      <c r="A562" s="4">
        <v>560</v>
      </c>
      <c r="B562" s="4" t="str">
        <f>"39712022060109521778644"</f>
        <v>39712022060109521778644</v>
      </c>
      <c r="C562" s="4" t="s">
        <v>16</v>
      </c>
      <c r="D562" s="4" t="str">
        <f>"胡楠"</f>
        <v>胡楠</v>
      </c>
      <c r="E562" s="4" t="str">
        <f t="shared" si="26"/>
        <v>女</v>
      </c>
    </row>
    <row r="563" spans="1:5" ht="30" customHeight="1">
      <c r="A563" s="4">
        <v>561</v>
      </c>
      <c r="B563" s="4" t="str">
        <f>"39712022060111051779233"</f>
        <v>39712022060111051779233</v>
      </c>
      <c r="C563" s="4" t="s">
        <v>16</v>
      </c>
      <c r="D563" s="4" t="str">
        <f>"罗广钦"</f>
        <v>罗广钦</v>
      </c>
      <c r="E563" s="4" t="str">
        <f t="shared" si="26"/>
        <v>女</v>
      </c>
    </row>
    <row r="564" spans="1:5" ht="30" customHeight="1">
      <c r="A564" s="4">
        <v>562</v>
      </c>
      <c r="B564" s="4" t="str">
        <f>"39712022060116510081087"</f>
        <v>39712022060116510081087</v>
      </c>
      <c r="C564" s="4" t="s">
        <v>16</v>
      </c>
      <c r="D564" s="4" t="str">
        <f>"李国秋"</f>
        <v>李国秋</v>
      </c>
      <c r="E564" s="4" t="str">
        <f aca="true" t="shared" si="27" ref="E564:E570">"男"</f>
        <v>男</v>
      </c>
    </row>
    <row r="565" spans="1:5" ht="30" customHeight="1">
      <c r="A565" s="4">
        <v>563</v>
      </c>
      <c r="B565" s="4" t="str">
        <f>"39712022060118004581457"</f>
        <v>39712022060118004581457</v>
      </c>
      <c r="C565" s="4" t="s">
        <v>16</v>
      </c>
      <c r="D565" s="4" t="str">
        <f>"郭垂扬"</f>
        <v>郭垂扬</v>
      </c>
      <c r="E565" s="4" t="str">
        <f t="shared" si="27"/>
        <v>男</v>
      </c>
    </row>
    <row r="566" spans="1:5" ht="30" customHeight="1">
      <c r="A566" s="4">
        <v>564</v>
      </c>
      <c r="B566" s="4" t="str">
        <f>"39712022060120151982020"</f>
        <v>39712022060120151982020</v>
      </c>
      <c r="C566" s="4" t="s">
        <v>16</v>
      </c>
      <c r="D566" s="4" t="str">
        <f>"黄启彬"</f>
        <v>黄启彬</v>
      </c>
      <c r="E566" s="4" t="str">
        <f t="shared" si="27"/>
        <v>男</v>
      </c>
    </row>
    <row r="567" spans="1:5" ht="30" customHeight="1">
      <c r="A567" s="4">
        <v>565</v>
      </c>
      <c r="B567" s="4" t="str">
        <f>"39712022060120344382107"</f>
        <v>39712022060120344382107</v>
      </c>
      <c r="C567" s="4" t="s">
        <v>16</v>
      </c>
      <c r="D567" s="4" t="str">
        <f>"武兴国"</f>
        <v>武兴国</v>
      </c>
      <c r="E567" s="4" t="str">
        <f t="shared" si="27"/>
        <v>男</v>
      </c>
    </row>
    <row r="568" spans="1:5" ht="30" customHeight="1">
      <c r="A568" s="4">
        <v>566</v>
      </c>
      <c r="B568" s="4" t="str">
        <f>"39712022060120493182175"</f>
        <v>39712022060120493182175</v>
      </c>
      <c r="C568" s="4" t="s">
        <v>16</v>
      </c>
      <c r="D568" s="4" t="str">
        <f>"陆海丰"</f>
        <v>陆海丰</v>
      </c>
      <c r="E568" s="4" t="str">
        <f t="shared" si="27"/>
        <v>男</v>
      </c>
    </row>
    <row r="569" spans="1:5" ht="30" customHeight="1">
      <c r="A569" s="4">
        <v>567</v>
      </c>
      <c r="B569" s="4" t="str">
        <f>"39712022060122100582613"</f>
        <v>39712022060122100582613</v>
      </c>
      <c r="C569" s="4" t="s">
        <v>16</v>
      </c>
      <c r="D569" s="4" t="str">
        <f>"郑必强"</f>
        <v>郑必强</v>
      </c>
      <c r="E569" s="4" t="str">
        <f t="shared" si="27"/>
        <v>男</v>
      </c>
    </row>
    <row r="570" spans="1:5" ht="30" customHeight="1">
      <c r="A570" s="4">
        <v>568</v>
      </c>
      <c r="B570" s="4" t="str">
        <f>"39712022060217444386512"</f>
        <v>39712022060217444386512</v>
      </c>
      <c r="C570" s="4" t="s">
        <v>16</v>
      </c>
      <c r="D570" s="4" t="str">
        <f>"姜军"</f>
        <v>姜军</v>
      </c>
      <c r="E570" s="4" t="str">
        <f t="shared" si="27"/>
        <v>男</v>
      </c>
    </row>
    <row r="571" spans="1:5" ht="30" customHeight="1">
      <c r="A571" s="4">
        <v>569</v>
      </c>
      <c r="B571" s="4" t="str">
        <f>"39712022060219512686910"</f>
        <v>39712022060219512686910</v>
      </c>
      <c r="C571" s="4" t="s">
        <v>16</v>
      </c>
      <c r="D571" s="4" t="str">
        <f>"陈春梅"</f>
        <v>陈春梅</v>
      </c>
      <c r="E571" s="4" t="str">
        <f>"女"</f>
        <v>女</v>
      </c>
    </row>
    <row r="572" spans="1:5" ht="30" customHeight="1">
      <c r="A572" s="4">
        <v>570</v>
      </c>
      <c r="B572" s="4" t="str">
        <f>"39712022060311404187864"</f>
        <v>39712022060311404187864</v>
      </c>
      <c r="C572" s="4" t="s">
        <v>16</v>
      </c>
      <c r="D572" s="4" t="str">
        <f>"尤娅琪"</f>
        <v>尤娅琪</v>
      </c>
      <c r="E572" s="4" t="str">
        <f>"女"</f>
        <v>女</v>
      </c>
    </row>
    <row r="573" spans="1:5" ht="30" customHeight="1">
      <c r="A573" s="4">
        <v>571</v>
      </c>
      <c r="B573" s="4" t="str">
        <f>"39712022060314433588022"</f>
        <v>39712022060314433588022</v>
      </c>
      <c r="C573" s="4" t="s">
        <v>16</v>
      </c>
      <c r="D573" s="4" t="str">
        <f>"杨倩"</f>
        <v>杨倩</v>
      </c>
      <c r="E573" s="4" t="str">
        <f>"女"</f>
        <v>女</v>
      </c>
    </row>
    <row r="574" spans="1:5" ht="30" customHeight="1">
      <c r="A574" s="4">
        <v>572</v>
      </c>
      <c r="B574" s="4" t="str">
        <f>"39712022060315064488047"</f>
        <v>39712022060315064488047</v>
      </c>
      <c r="C574" s="4" t="s">
        <v>16</v>
      </c>
      <c r="D574" s="4" t="str">
        <f>"张理冲"</f>
        <v>张理冲</v>
      </c>
      <c r="E574" s="4" t="str">
        <f>"男"</f>
        <v>男</v>
      </c>
    </row>
    <row r="575" spans="1:5" ht="30" customHeight="1">
      <c r="A575" s="4">
        <v>573</v>
      </c>
      <c r="B575" s="4" t="str">
        <f>"39712022060515001490159"</f>
        <v>39712022060515001490159</v>
      </c>
      <c r="C575" s="4" t="s">
        <v>16</v>
      </c>
      <c r="D575" s="4" t="str">
        <f>"林霞"</f>
        <v>林霞</v>
      </c>
      <c r="E575" s="4" t="str">
        <f>"女"</f>
        <v>女</v>
      </c>
    </row>
    <row r="576" spans="1:5" ht="30" customHeight="1">
      <c r="A576" s="4">
        <v>574</v>
      </c>
      <c r="B576" s="4" t="str">
        <f>"39712022060616452098914"</f>
        <v>39712022060616452098914</v>
      </c>
      <c r="C576" s="4" t="s">
        <v>16</v>
      </c>
      <c r="D576" s="4" t="str">
        <f>"李经纪"</f>
        <v>李经纪</v>
      </c>
      <c r="E576" s="4" t="str">
        <f>"男"</f>
        <v>男</v>
      </c>
    </row>
    <row r="577" spans="1:5" ht="30" customHeight="1">
      <c r="A577" s="4">
        <v>575</v>
      </c>
      <c r="B577" s="4" t="str">
        <f>"39712022060617540199621"</f>
        <v>39712022060617540199621</v>
      </c>
      <c r="C577" s="4" t="s">
        <v>16</v>
      </c>
      <c r="D577" s="4" t="str">
        <f>"王文伟"</f>
        <v>王文伟</v>
      </c>
      <c r="E577" s="4" t="str">
        <f>"男"</f>
        <v>男</v>
      </c>
    </row>
    <row r="578" spans="1:5" ht="30" customHeight="1">
      <c r="A578" s="4">
        <v>576</v>
      </c>
      <c r="B578" s="4" t="str">
        <f>"397120220606222334101878"</f>
        <v>397120220606222334101878</v>
      </c>
      <c r="C578" s="4" t="s">
        <v>16</v>
      </c>
      <c r="D578" s="4" t="str">
        <f>"王大祥"</f>
        <v>王大祥</v>
      </c>
      <c r="E578" s="4" t="str">
        <f>"男"</f>
        <v>男</v>
      </c>
    </row>
    <row r="579" spans="1:5" ht="30" customHeight="1">
      <c r="A579" s="4">
        <v>577</v>
      </c>
      <c r="B579" s="4" t="str">
        <f>"397120220607161221107531"</f>
        <v>397120220607161221107531</v>
      </c>
      <c r="C579" s="4" t="s">
        <v>16</v>
      </c>
      <c r="D579" s="4" t="str">
        <f>"张舟"</f>
        <v>张舟</v>
      </c>
      <c r="E579" s="4" t="str">
        <f>"女"</f>
        <v>女</v>
      </c>
    </row>
    <row r="580" spans="1:5" ht="30" customHeight="1">
      <c r="A580" s="4">
        <v>578</v>
      </c>
      <c r="B580" s="4" t="str">
        <f>"397120220607183811108721"</f>
        <v>397120220607183811108721</v>
      </c>
      <c r="C580" s="4" t="s">
        <v>16</v>
      </c>
      <c r="D580" s="4" t="str">
        <f>"梁红应"</f>
        <v>梁红应</v>
      </c>
      <c r="E580" s="4" t="str">
        <f aca="true" t="shared" si="28" ref="E580:E588">"男"</f>
        <v>男</v>
      </c>
    </row>
    <row r="581" spans="1:5" ht="30" customHeight="1">
      <c r="A581" s="4">
        <v>579</v>
      </c>
      <c r="B581" s="4" t="str">
        <f>"397120220607225739110418"</f>
        <v>397120220607225739110418</v>
      </c>
      <c r="C581" s="4" t="s">
        <v>16</v>
      </c>
      <c r="D581" s="4" t="str">
        <f>"王子府"</f>
        <v>王子府</v>
      </c>
      <c r="E581" s="4" t="str">
        <f t="shared" si="28"/>
        <v>男</v>
      </c>
    </row>
    <row r="582" spans="1:5" ht="30" customHeight="1">
      <c r="A582" s="4">
        <v>580</v>
      </c>
      <c r="B582" s="4" t="str">
        <f>"397120220607233824110547"</f>
        <v>397120220607233824110547</v>
      </c>
      <c r="C582" s="4" t="s">
        <v>16</v>
      </c>
      <c r="D582" s="4" t="str">
        <f>"戴兴诲"</f>
        <v>戴兴诲</v>
      </c>
      <c r="E582" s="4" t="str">
        <f t="shared" si="28"/>
        <v>男</v>
      </c>
    </row>
    <row r="583" spans="1:5" ht="30" customHeight="1">
      <c r="A583" s="4">
        <v>581</v>
      </c>
      <c r="B583" s="4" t="str">
        <f>"397120220607234156110565"</f>
        <v>397120220607234156110565</v>
      </c>
      <c r="C583" s="4" t="s">
        <v>16</v>
      </c>
      <c r="D583" s="4" t="str">
        <f>"王哲"</f>
        <v>王哲</v>
      </c>
      <c r="E583" s="4" t="str">
        <f t="shared" si="28"/>
        <v>男</v>
      </c>
    </row>
    <row r="584" spans="1:5" ht="30" customHeight="1">
      <c r="A584" s="4">
        <v>582</v>
      </c>
      <c r="B584" s="4" t="str">
        <f>"397120220608003438110677"</f>
        <v>397120220608003438110677</v>
      </c>
      <c r="C584" s="4" t="s">
        <v>16</v>
      </c>
      <c r="D584" s="4" t="str">
        <f>"邵杰"</f>
        <v>邵杰</v>
      </c>
      <c r="E584" s="4" t="str">
        <f t="shared" si="28"/>
        <v>男</v>
      </c>
    </row>
    <row r="585" spans="1:5" ht="30" customHeight="1">
      <c r="A585" s="4">
        <v>583</v>
      </c>
      <c r="B585" s="4" t="str">
        <f>"397120220608111525112352"</f>
        <v>397120220608111525112352</v>
      </c>
      <c r="C585" s="4" t="s">
        <v>16</v>
      </c>
      <c r="D585" s="4" t="str">
        <f>"陈怀超"</f>
        <v>陈怀超</v>
      </c>
      <c r="E585" s="4" t="str">
        <f t="shared" si="28"/>
        <v>男</v>
      </c>
    </row>
    <row r="586" spans="1:5" ht="30" customHeight="1">
      <c r="A586" s="4">
        <v>584</v>
      </c>
      <c r="B586" s="4" t="str">
        <f>"39712022060110042778744"</f>
        <v>39712022060110042778744</v>
      </c>
      <c r="C586" s="4" t="s">
        <v>17</v>
      </c>
      <c r="D586" s="4" t="str">
        <f>"吴仁超"</f>
        <v>吴仁超</v>
      </c>
      <c r="E586" s="4" t="str">
        <f t="shared" si="28"/>
        <v>男</v>
      </c>
    </row>
    <row r="587" spans="1:5" ht="30" customHeight="1">
      <c r="A587" s="4">
        <v>585</v>
      </c>
      <c r="B587" s="4" t="str">
        <f>"39712022060111390679495"</f>
        <v>39712022060111390679495</v>
      </c>
      <c r="C587" s="4" t="s">
        <v>17</v>
      </c>
      <c r="D587" s="4" t="str">
        <f>"吴世茂"</f>
        <v>吴世茂</v>
      </c>
      <c r="E587" s="4" t="str">
        <f t="shared" si="28"/>
        <v>男</v>
      </c>
    </row>
    <row r="588" spans="1:5" ht="30" customHeight="1">
      <c r="A588" s="4">
        <v>586</v>
      </c>
      <c r="B588" s="4" t="str">
        <f>"39712022060111464879530"</f>
        <v>39712022060111464879530</v>
      </c>
      <c r="C588" s="4" t="s">
        <v>17</v>
      </c>
      <c r="D588" s="4" t="str">
        <f>"符家乐"</f>
        <v>符家乐</v>
      </c>
      <c r="E588" s="4" t="str">
        <f t="shared" si="28"/>
        <v>男</v>
      </c>
    </row>
    <row r="589" spans="1:5" ht="30" customHeight="1">
      <c r="A589" s="4">
        <v>587</v>
      </c>
      <c r="B589" s="4" t="str">
        <f>"39712022060112084979643"</f>
        <v>39712022060112084979643</v>
      </c>
      <c r="C589" s="4" t="s">
        <v>17</v>
      </c>
      <c r="D589" s="4" t="str">
        <f>"秦晓夏"</f>
        <v>秦晓夏</v>
      </c>
      <c r="E589" s="4" t="str">
        <f>"女"</f>
        <v>女</v>
      </c>
    </row>
    <row r="590" spans="1:5" ht="30" customHeight="1">
      <c r="A590" s="4">
        <v>588</v>
      </c>
      <c r="B590" s="4" t="str">
        <f>"39712022060114534880397"</f>
        <v>39712022060114534880397</v>
      </c>
      <c r="C590" s="4" t="s">
        <v>17</v>
      </c>
      <c r="D590" s="4" t="str">
        <f>"邓旻敏"</f>
        <v>邓旻敏</v>
      </c>
      <c r="E590" s="4" t="str">
        <f>"女"</f>
        <v>女</v>
      </c>
    </row>
    <row r="591" spans="1:5" ht="30" customHeight="1">
      <c r="A591" s="4">
        <v>589</v>
      </c>
      <c r="B591" s="4" t="str">
        <f>"39712022060115223380560"</f>
        <v>39712022060115223380560</v>
      </c>
      <c r="C591" s="4" t="s">
        <v>17</v>
      </c>
      <c r="D591" s="4" t="str">
        <f>"郭小思"</f>
        <v>郭小思</v>
      </c>
      <c r="E591" s="4" t="str">
        <f>"男"</f>
        <v>男</v>
      </c>
    </row>
    <row r="592" spans="1:5" ht="30" customHeight="1">
      <c r="A592" s="4">
        <v>590</v>
      </c>
      <c r="B592" s="4" t="str">
        <f>"39712022060116211180922"</f>
        <v>39712022060116211180922</v>
      </c>
      <c r="C592" s="4" t="s">
        <v>17</v>
      </c>
      <c r="D592" s="4" t="str">
        <f>"郑宏巧"</f>
        <v>郑宏巧</v>
      </c>
      <c r="E592" s="4" t="str">
        <f>"女"</f>
        <v>女</v>
      </c>
    </row>
    <row r="593" spans="1:5" ht="30" customHeight="1">
      <c r="A593" s="4">
        <v>591</v>
      </c>
      <c r="B593" s="4" t="str">
        <f>"39712022060119081781739"</f>
        <v>39712022060119081781739</v>
      </c>
      <c r="C593" s="4" t="s">
        <v>17</v>
      </c>
      <c r="D593" s="4" t="str">
        <f>"谭升光"</f>
        <v>谭升光</v>
      </c>
      <c r="E593" s="4" t="str">
        <f>"男"</f>
        <v>男</v>
      </c>
    </row>
    <row r="594" spans="1:5" ht="30" customHeight="1">
      <c r="A594" s="4">
        <v>592</v>
      </c>
      <c r="B594" s="4" t="str">
        <f>"39712022060119401581865"</f>
        <v>39712022060119401581865</v>
      </c>
      <c r="C594" s="4" t="s">
        <v>17</v>
      </c>
      <c r="D594" s="4" t="str">
        <f>"邓丹花"</f>
        <v>邓丹花</v>
      </c>
      <c r="E594" s="4" t="str">
        <f>"女"</f>
        <v>女</v>
      </c>
    </row>
    <row r="595" spans="1:5" ht="30" customHeight="1">
      <c r="A595" s="4">
        <v>593</v>
      </c>
      <c r="B595" s="4" t="str">
        <f>"39712022060120430582142"</f>
        <v>39712022060120430582142</v>
      </c>
      <c r="C595" s="4" t="s">
        <v>17</v>
      </c>
      <c r="D595" s="4" t="str">
        <f>"杨梦选"</f>
        <v>杨梦选</v>
      </c>
      <c r="E595" s="4" t="str">
        <f>"女"</f>
        <v>女</v>
      </c>
    </row>
    <row r="596" spans="1:5" ht="30" customHeight="1">
      <c r="A596" s="4">
        <v>594</v>
      </c>
      <c r="B596" s="4" t="str">
        <f>"39712022060121483182492"</f>
        <v>39712022060121483182492</v>
      </c>
      <c r="C596" s="4" t="s">
        <v>17</v>
      </c>
      <c r="D596" s="4" t="str">
        <f>"韩佳琦"</f>
        <v>韩佳琦</v>
      </c>
      <c r="E596" s="4" t="str">
        <f>"女"</f>
        <v>女</v>
      </c>
    </row>
    <row r="597" spans="1:5" ht="30" customHeight="1">
      <c r="A597" s="4">
        <v>595</v>
      </c>
      <c r="B597" s="4" t="str">
        <f>"39712022060200215383078"</f>
        <v>39712022060200215383078</v>
      </c>
      <c r="C597" s="4" t="s">
        <v>17</v>
      </c>
      <c r="D597" s="4" t="str">
        <f>"黎东芳"</f>
        <v>黎东芳</v>
      </c>
      <c r="E597" s="4" t="str">
        <f>"女"</f>
        <v>女</v>
      </c>
    </row>
    <row r="598" spans="1:5" ht="30" customHeight="1">
      <c r="A598" s="4">
        <v>596</v>
      </c>
      <c r="B598" s="4" t="str">
        <f>"39712022060210552084370"</f>
        <v>39712022060210552084370</v>
      </c>
      <c r="C598" s="4" t="s">
        <v>17</v>
      </c>
      <c r="D598" s="4" t="str">
        <f>"穆业峰"</f>
        <v>穆业峰</v>
      </c>
      <c r="E598" s="4" t="str">
        <f>"男"</f>
        <v>男</v>
      </c>
    </row>
    <row r="599" spans="1:5" ht="30" customHeight="1">
      <c r="A599" s="4">
        <v>597</v>
      </c>
      <c r="B599" s="4" t="str">
        <f>"39712022060214100685420"</f>
        <v>39712022060214100685420</v>
      </c>
      <c r="C599" s="4" t="s">
        <v>17</v>
      </c>
      <c r="D599" s="4" t="str">
        <f>"刘泽珊"</f>
        <v>刘泽珊</v>
      </c>
      <c r="E599" s="4" t="str">
        <f>"女"</f>
        <v>女</v>
      </c>
    </row>
    <row r="600" spans="1:5" ht="30" customHeight="1">
      <c r="A600" s="4">
        <v>598</v>
      </c>
      <c r="B600" s="4" t="str">
        <f>"39712022060214201785463"</f>
        <v>39712022060214201785463</v>
      </c>
      <c r="C600" s="4" t="s">
        <v>17</v>
      </c>
      <c r="D600" s="4" t="str">
        <f>"陈体鹰"</f>
        <v>陈体鹰</v>
      </c>
      <c r="E600" s="4" t="str">
        <f>"男"</f>
        <v>男</v>
      </c>
    </row>
    <row r="601" spans="1:5" ht="30" customHeight="1">
      <c r="A601" s="4">
        <v>599</v>
      </c>
      <c r="B601" s="4" t="str">
        <f>"39712022060214473685573"</f>
        <v>39712022060214473685573</v>
      </c>
      <c r="C601" s="4" t="s">
        <v>17</v>
      </c>
      <c r="D601" s="4" t="str">
        <f>"符秀弯"</f>
        <v>符秀弯</v>
      </c>
      <c r="E601" s="4" t="str">
        <f>"女"</f>
        <v>女</v>
      </c>
    </row>
    <row r="602" spans="1:5" ht="30" customHeight="1">
      <c r="A602" s="4">
        <v>600</v>
      </c>
      <c r="B602" s="4" t="str">
        <f>"39712022060218500786733"</f>
        <v>39712022060218500786733</v>
      </c>
      <c r="C602" s="4" t="s">
        <v>17</v>
      </c>
      <c r="D602" s="4" t="str">
        <f>"吉训高"</f>
        <v>吉训高</v>
      </c>
      <c r="E602" s="4" t="str">
        <f>"男"</f>
        <v>男</v>
      </c>
    </row>
    <row r="603" spans="1:5" ht="30" customHeight="1">
      <c r="A603" s="4">
        <v>601</v>
      </c>
      <c r="B603" s="4" t="str">
        <f>"39712022060310210987766"</f>
        <v>39712022060310210987766</v>
      </c>
      <c r="C603" s="4" t="s">
        <v>17</v>
      </c>
      <c r="D603" s="4" t="str">
        <f>"李小霜"</f>
        <v>李小霜</v>
      </c>
      <c r="E603" s="4" t="str">
        <f aca="true" t="shared" si="29" ref="E603:E608">"女"</f>
        <v>女</v>
      </c>
    </row>
    <row r="604" spans="1:5" ht="30" customHeight="1">
      <c r="A604" s="4">
        <v>602</v>
      </c>
      <c r="B604" s="4" t="str">
        <f>"39712022060316363088137"</f>
        <v>39712022060316363088137</v>
      </c>
      <c r="C604" s="4" t="s">
        <v>17</v>
      </c>
      <c r="D604" s="4" t="str">
        <f>"符琳琳"</f>
        <v>符琳琳</v>
      </c>
      <c r="E604" s="4" t="str">
        <f t="shared" si="29"/>
        <v>女</v>
      </c>
    </row>
    <row r="605" spans="1:5" ht="30" customHeight="1">
      <c r="A605" s="4">
        <v>603</v>
      </c>
      <c r="B605" s="4" t="str">
        <f>"39712022060319325088297"</f>
        <v>39712022060319325088297</v>
      </c>
      <c r="C605" s="4" t="s">
        <v>17</v>
      </c>
      <c r="D605" s="4" t="str">
        <f>"李冬香"</f>
        <v>李冬香</v>
      </c>
      <c r="E605" s="4" t="str">
        <f t="shared" si="29"/>
        <v>女</v>
      </c>
    </row>
    <row r="606" spans="1:5" ht="30" customHeight="1">
      <c r="A606" s="4">
        <v>604</v>
      </c>
      <c r="B606" s="4" t="str">
        <f>"39712022060320004988320"</f>
        <v>39712022060320004988320</v>
      </c>
      <c r="C606" s="4" t="s">
        <v>17</v>
      </c>
      <c r="D606" s="4" t="str">
        <f>"文红梅"</f>
        <v>文红梅</v>
      </c>
      <c r="E606" s="4" t="str">
        <f t="shared" si="29"/>
        <v>女</v>
      </c>
    </row>
    <row r="607" spans="1:5" ht="30" customHeight="1">
      <c r="A607" s="4">
        <v>605</v>
      </c>
      <c r="B607" s="4" t="str">
        <f>"39712022060321350688416"</f>
        <v>39712022060321350688416</v>
      </c>
      <c r="C607" s="4" t="s">
        <v>17</v>
      </c>
      <c r="D607" s="4" t="str">
        <f>"黄斐雅"</f>
        <v>黄斐雅</v>
      </c>
      <c r="E607" s="4" t="str">
        <f t="shared" si="29"/>
        <v>女</v>
      </c>
    </row>
    <row r="608" spans="1:5" ht="30" customHeight="1">
      <c r="A608" s="4">
        <v>606</v>
      </c>
      <c r="B608" s="4" t="str">
        <f>"39712022060322390088487"</f>
        <v>39712022060322390088487</v>
      </c>
      <c r="C608" s="4" t="s">
        <v>17</v>
      </c>
      <c r="D608" s="4" t="str">
        <f>"麦金丽"</f>
        <v>麦金丽</v>
      </c>
      <c r="E608" s="4" t="str">
        <f t="shared" si="29"/>
        <v>女</v>
      </c>
    </row>
    <row r="609" spans="1:5" ht="30" customHeight="1">
      <c r="A609" s="4">
        <v>607</v>
      </c>
      <c r="B609" s="4" t="str">
        <f>"39712022060410054388686"</f>
        <v>39712022060410054388686</v>
      </c>
      <c r="C609" s="4" t="s">
        <v>17</v>
      </c>
      <c r="D609" s="4" t="str">
        <f>"徐堂杰"</f>
        <v>徐堂杰</v>
      </c>
      <c r="E609" s="4" t="str">
        <f>"男"</f>
        <v>男</v>
      </c>
    </row>
    <row r="610" spans="1:5" ht="30" customHeight="1">
      <c r="A610" s="4">
        <v>608</v>
      </c>
      <c r="B610" s="4" t="str">
        <f>"39712022060414481488988"</f>
        <v>39712022060414481488988</v>
      </c>
      <c r="C610" s="4" t="s">
        <v>17</v>
      </c>
      <c r="D610" s="4" t="str">
        <f>"邢维佳"</f>
        <v>邢维佳</v>
      </c>
      <c r="E610" s="4" t="str">
        <f>"女"</f>
        <v>女</v>
      </c>
    </row>
    <row r="611" spans="1:5" ht="30" customHeight="1">
      <c r="A611" s="4">
        <v>609</v>
      </c>
      <c r="B611" s="4" t="str">
        <f>"39712022060422210889448"</f>
        <v>39712022060422210889448</v>
      </c>
      <c r="C611" s="4" t="s">
        <v>17</v>
      </c>
      <c r="D611" s="4" t="str">
        <f>"朱晶晶"</f>
        <v>朱晶晶</v>
      </c>
      <c r="E611" s="4" t="str">
        <f>"女"</f>
        <v>女</v>
      </c>
    </row>
    <row r="612" spans="1:5" ht="30" customHeight="1">
      <c r="A612" s="4">
        <v>610</v>
      </c>
      <c r="B612" s="4" t="str">
        <f>"39712022060500041389548"</f>
        <v>39712022060500041389548</v>
      </c>
      <c r="C612" s="4" t="s">
        <v>17</v>
      </c>
      <c r="D612" s="4" t="str">
        <f>"那晨"</f>
        <v>那晨</v>
      </c>
      <c r="E612" s="4" t="str">
        <f>"男"</f>
        <v>男</v>
      </c>
    </row>
    <row r="613" spans="1:5" ht="30" customHeight="1">
      <c r="A613" s="4">
        <v>611</v>
      </c>
      <c r="B613" s="4" t="str">
        <f>"39712022060500112889554"</f>
        <v>39712022060500112889554</v>
      </c>
      <c r="C613" s="4" t="s">
        <v>17</v>
      </c>
      <c r="D613" s="4" t="str">
        <f>"吴濡"</f>
        <v>吴濡</v>
      </c>
      <c r="E613" s="4" t="str">
        <f>"女"</f>
        <v>女</v>
      </c>
    </row>
    <row r="614" spans="1:5" ht="30" customHeight="1">
      <c r="A614" s="4">
        <v>612</v>
      </c>
      <c r="B614" s="4" t="str">
        <f>"39712022060514112090102"</f>
        <v>39712022060514112090102</v>
      </c>
      <c r="C614" s="4" t="s">
        <v>17</v>
      </c>
      <c r="D614" s="4" t="str">
        <f>"彭嘉瑀"</f>
        <v>彭嘉瑀</v>
      </c>
      <c r="E614" s="4" t="str">
        <f>"男"</f>
        <v>男</v>
      </c>
    </row>
    <row r="615" spans="1:5" ht="30" customHeight="1">
      <c r="A615" s="4">
        <v>613</v>
      </c>
      <c r="B615" s="4" t="str">
        <f>"39712022060514334490133"</f>
        <v>39712022060514334490133</v>
      </c>
      <c r="C615" s="4" t="s">
        <v>17</v>
      </c>
      <c r="D615" s="4" t="str">
        <f>"林丹"</f>
        <v>林丹</v>
      </c>
      <c r="E615" s="4" t="str">
        <f>"女"</f>
        <v>女</v>
      </c>
    </row>
    <row r="616" spans="1:5" ht="30" customHeight="1">
      <c r="A616" s="4">
        <v>614</v>
      </c>
      <c r="B616" s="4" t="str">
        <f>"39712022060521133890661"</f>
        <v>39712022060521133890661</v>
      </c>
      <c r="C616" s="4" t="s">
        <v>17</v>
      </c>
      <c r="D616" s="4" t="str">
        <f>"詹兴文"</f>
        <v>詹兴文</v>
      </c>
      <c r="E616" s="4" t="str">
        <f>"男"</f>
        <v>男</v>
      </c>
    </row>
    <row r="617" spans="1:5" ht="30" customHeight="1">
      <c r="A617" s="4">
        <v>615</v>
      </c>
      <c r="B617" s="4" t="str">
        <f>"39712022060611284095152"</f>
        <v>39712022060611284095152</v>
      </c>
      <c r="C617" s="4" t="s">
        <v>17</v>
      </c>
      <c r="D617" s="4" t="str">
        <f>"罗瑞桐"</f>
        <v>罗瑞桐</v>
      </c>
      <c r="E617" s="4" t="str">
        <f>"男"</f>
        <v>男</v>
      </c>
    </row>
    <row r="618" spans="1:5" ht="30" customHeight="1">
      <c r="A618" s="4">
        <v>616</v>
      </c>
      <c r="B618" s="4" t="str">
        <f>"397120220606185337100121"</f>
        <v>397120220606185337100121</v>
      </c>
      <c r="C618" s="4" t="s">
        <v>17</v>
      </c>
      <c r="D618" s="4" t="str">
        <f>"郑世斌"</f>
        <v>郑世斌</v>
      </c>
      <c r="E618" s="4" t="str">
        <f>"男"</f>
        <v>男</v>
      </c>
    </row>
    <row r="619" spans="1:5" ht="30" customHeight="1">
      <c r="A619" s="4">
        <v>617</v>
      </c>
      <c r="B619" s="4" t="str">
        <f>"397120220606194706100539"</f>
        <v>397120220606194706100539</v>
      </c>
      <c r="C619" s="4" t="s">
        <v>17</v>
      </c>
      <c r="D619" s="4" t="str">
        <f>"符福爱"</f>
        <v>符福爱</v>
      </c>
      <c r="E619" s="4" t="str">
        <f>"女"</f>
        <v>女</v>
      </c>
    </row>
    <row r="620" spans="1:5" ht="30" customHeight="1">
      <c r="A620" s="4">
        <v>618</v>
      </c>
      <c r="B620" s="4" t="str">
        <f>"397120220607122301105607"</f>
        <v>397120220607122301105607</v>
      </c>
      <c r="C620" s="4" t="s">
        <v>17</v>
      </c>
      <c r="D620" s="4" t="str">
        <f>"李祥平"</f>
        <v>李祥平</v>
      </c>
      <c r="E620" s="4" t="str">
        <f>"男"</f>
        <v>男</v>
      </c>
    </row>
    <row r="621" spans="1:5" ht="30" customHeight="1">
      <c r="A621" s="4">
        <v>619</v>
      </c>
      <c r="B621" s="4" t="str">
        <f>"397120220607140211106302"</f>
        <v>397120220607140211106302</v>
      </c>
      <c r="C621" s="4" t="s">
        <v>17</v>
      </c>
      <c r="D621" s="4" t="str">
        <f>"钟以娜"</f>
        <v>钟以娜</v>
      </c>
      <c r="E621" s="4" t="str">
        <f>"女"</f>
        <v>女</v>
      </c>
    </row>
    <row r="622" spans="1:5" ht="30" customHeight="1">
      <c r="A622" s="4">
        <v>620</v>
      </c>
      <c r="B622" s="4" t="str">
        <f>"397120220607160707107471"</f>
        <v>397120220607160707107471</v>
      </c>
      <c r="C622" s="4" t="s">
        <v>17</v>
      </c>
      <c r="D622" s="4" t="str">
        <f>"林志泽"</f>
        <v>林志泽</v>
      </c>
      <c r="E622" s="4" t="str">
        <f>"男"</f>
        <v>男</v>
      </c>
    </row>
    <row r="623" spans="1:5" ht="30" customHeight="1">
      <c r="A623" s="4">
        <v>621</v>
      </c>
      <c r="B623" s="4" t="str">
        <f>"397120220608095040111610"</f>
        <v>397120220608095040111610</v>
      </c>
      <c r="C623" s="4" t="s">
        <v>17</v>
      </c>
      <c r="D623" s="4" t="str">
        <f>"吴代静"</f>
        <v>吴代静</v>
      </c>
      <c r="E623" s="4" t="str">
        <f>"女"</f>
        <v>女</v>
      </c>
    </row>
    <row r="624" spans="1:5" ht="30" customHeight="1">
      <c r="A624" s="4">
        <v>622</v>
      </c>
      <c r="B624" s="4" t="str">
        <f>"39712022060109490378618"</f>
        <v>39712022060109490378618</v>
      </c>
      <c r="C624" s="4" t="s">
        <v>18</v>
      </c>
      <c r="D624" s="4" t="str">
        <f>"王艺铮"</f>
        <v>王艺铮</v>
      </c>
      <c r="E624" s="4" t="str">
        <f>"女"</f>
        <v>女</v>
      </c>
    </row>
    <row r="625" spans="1:5" ht="30" customHeight="1">
      <c r="A625" s="4">
        <v>623</v>
      </c>
      <c r="B625" s="4" t="str">
        <f>"39712022060110065478767"</f>
        <v>39712022060110065478767</v>
      </c>
      <c r="C625" s="4" t="s">
        <v>18</v>
      </c>
      <c r="D625" s="4" t="str">
        <f>"毕梦杰"</f>
        <v>毕梦杰</v>
      </c>
      <c r="E625" s="4" t="str">
        <f>"女"</f>
        <v>女</v>
      </c>
    </row>
    <row r="626" spans="1:5" ht="30" customHeight="1">
      <c r="A626" s="4">
        <v>624</v>
      </c>
      <c r="B626" s="4" t="str">
        <f>"39712022060110532679134"</f>
        <v>39712022060110532679134</v>
      </c>
      <c r="C626" s="4" t="s">
        <v>18</v>
      </c>
      <c r="D626" s="4" t="str">
        <f>"白建斌"</f>
        <v>白建斌</v>
      </c>
      <c r="E626" s="4" t="str">
        <f>"男"</f>
        <v>男</v>
      </c>
    </row>
    <row r="627" spans="1:5" ht="30" customHeight="1">
      <c r="A627" s="4">
        <v>625</v>
      </c>
      <c r="B627" s="4" t="str">
        <f>"39712022060119075581738"</f>
        <v>39712022060119075581738</v>
      </c>
      <c r="C627" s="4" t="s">
        <v>18</v>
      </c>
      <c r="D627" s="4" t="str">
        <f>"程成皓"</f>
        <v>程成皓</v>
      </c>
      <c r="E627" s="4" t="str">
        <f>"男"</f>
        <v>男</v>
      </c>
    </row>
    <row r="628" spans="1:5" ht="30" customHeight="1">
      <c r="A628" s="4">
        <v>626</v>
      </c>
      <c r="B628" s="4" t="str">
        <f>"39712022060122132682635"</f>
        <v>39712022060122132682635</v>
      </c>
      <c r="C628" s="4" t="s">
        <v>18</v>
      </c>
      <c r="D628" s="4" t="str">
        <f>"王冰冰"</f>
        <v>王冰冰</v>
      </c>
      <c r="E628" s="4" t="str">
        <f>"女"</f>
        <v>女</v>
      </c>
    </row>
    <row r="629" spans="1:5" ht="30" customHeight="1">
      <c r="A629" s="4">
        <v>627</v>
      </c>
      <c r="B629" s="4" t="str">
        <f>"39712022060208202483286"</f>
        <v>39712022060208202483286</v>
      </c>
      <c r="C629" s="4" t="s">
        <v>18</v>
      </c>
      <c r="D629" s="4" t="str">
        <f>"王乐园"</f>
        <v>王乐园</v>
      </c>
      <c r="E629" s="4" t="str">
        <f>"女"</f>
        <v>女</v>
      </c>
    </row>
    <row r="630" spans="1:5" ht="30" customHeight="1">
      <c r="A630" s="4">
        <v>628</v>
      </c>
      <c r="B630" s="4" t="str">
        <f>"39712022060209281083711"</f>
        <v>39712022060209281083711</v>
      </c>
      <c r="C630" s="4" t="s">
        <v>18</v>
      </c>
      <c r="D630" s="4" t="str">
        <f>"江嘉琳"</f>
        <v>江嘉琳</v>
      </c>
      <c r="E630" s="4" t="str">
        <f>"女"</f>
        <v>女</v>
      </c>
    </row>
    <row r="631" spans="1:5" ht="30" customHeight="1">
      <c r="A631" s="4">
        <v>629</v>
      </c>
      <c r="B631" s="4" t="str">
        <f>"39712022060215355185869"</f>
        <v>39712022060215355185869</v>
      </c>
      <c r="C631" s="4" t="s">
        <v>18</v>
      </c>
      <c r="D631" s="4" t="str">
        <f>"米婷婷"</f>
        <v>米婷婷</v>
      </c>
      <c r="E631" s="4" t="str">
        <f>"女"</f>
        <v>女</v>
      </c>
    </row>
    <row r="632" spans="1:5" ht="30" customHeight="1">
      <c r="A632" s="4">
        <v>630</v>
      </c>
      <c r="B632" s="4" t="str">
        <f>"39712022060319492088313"</f>
        <v>39712022060319492088313</v>
      </c>
      <c r="C632" s="4" t="s">
        <v>18</v>
      </c>
      <c r="D632" s="4" t="str">
        <f>"伍慧敏"</f>
        <v>伍慧敏</v>
      </c>
      <c r="E632" s="4" t="str">
        <f>"女"</f>
        <v>女</v>
      </c>
    </row>
    <row r="633" spans="1:5" ht="30" customHeight="1">
      <c r="A633" s="4">
        <v>631</v>
      </c>
      <c r="B633" s="4" t="str">
        <f>"39712022060416233989085"</f>
        <v>39712022060416233989085</v>
      </c>
      <c r="C633" s="4" t="s">
        <v>18</v>
      </c>
      <c r="D633" s="4" t="str">
        <f>"陈威"</f>
        <v>陈威</v>
      </c>
      <c r="E633" s="4" t="str">
        <f>"男"</f>
        <v>男</v>
      </c>
    </row>
    <row r="634" spans="1:5" ht="30" customHeight="1">
      <c r="A634" s="4">
        <v>632</v>
      </c>
      <c r="B634" s="4" t="str">
        <f>"397120220607133121106109"</f>
        <v>397120220607133121106109</v>
      </c>
      <c r="C634" s="4" t="s">
        <v>18</v>
      </c>
      <c r="D634" s="4" t="str">
        <f>"李诗雨"</f>
        <v>李诗雨</v>
      </c>
      <c r="E634" s="4" t="str">
        <f>"女"</f>
        <v>女</v>
      </c>
    </row>
    <row r="635" spans="1:5" ht="30" customHeight="1">
      <c r="A635" s="4">
        <v>633</v>
      </c>
      <c r="B635" s="4" t="str">
        <f>"397120220607162806107692"</f>
        <v>397120220607162806107692</v>
      </c>
      <c r="C635" s="4" t="s">
        <v>18</v>
      </c>
      <c r="D635" s="4" t="str">
        <f>"周梦圆"</f>
        <v>周梦圆</v>
      </c>
      <c r="E635" s="4" t="str">
        <f>"女"</f>
        <v>女</v>
      </c>
    </row>
    <row r="636" spans="1:5" ht="30" customHeight="1">
      <c r="A636" s="4">
        <v>634</v>
      </c>
      <c r="B636" s="4" t="str">
        <f>"397120220608022252110737"</f>
        <v>397120220608022252110737</v>
      </c>
      <c r="C636" s="4" t="s">
        <v>18</v>
      </c>
      <c r="D636" s="4" t="str">
        <f>"陶柯青"</f>
        <v>陶柯青</v>
      </c>
      <c r="E636" s="4" t="str">
        <f>"男"</f>
        <v>男</v>
      </c>
    </row>
    <row r="637" spans="1:5" ht="30" customHeight="1">
      <c r="A637" s="4">
        <v>635</v>
      </c>
      <c r="B637" s="4" t="str">
        <f>"397120220608112432112412"</f>
        <v>397120220608112432112412</v>
      </c>
      <c r="C637" s="4" t="s">
        <v>18</v>
      </c>
      <c r="D637" s="4" t="str">
        <f>"潘在娥"</f>
        <v>潘在娥</v>
      </c>
      <c r="E637" s="4" t="str">
        <f aca="true" t="shared" si="30" ref="E637:E643">"女"</f>
        <v>女</v>
      </c>
    </row>
    <row r="638" spans="1:5" ht="30" customHeight="1">
      <c r="A638" s="4">
        <v>636</v>
      </c>
      <c r="B638" s="4" t="str">
        <f>"39712022060109175078338"</f>
        <v>39712022060109175078338</v>
      </c>
      <c r="C638" s="4" t="s">
        <v>19</v>
      </c>
      <c r="D638" s="4" t="str">
        <f>"黄慧倩"</f>
        <v>黄慧倩</v>
      </c>
      <c r="E638" s="4" t="str">
        <f t="shared" si="30"/>
        <v>女</v>
      </c>
    </row>
    <row r="639" spans="1:5" ht="30" customHeight="1">
      <c r="A639" s="4">
        <v>637</v>
      </c>
      <c r="B639" s="4" t="str">
        <f>"39712022060109182578344"</f>
        <v>39712022060109182578344</v>
      </c>
      <c r="C639" s="4" t="s">
        <v>19</v>
      </c>
      <c r="D639" s="4" t="str">
        <f>"谭诗婷"</f>
        <v>谭诗婷</v>
      </c>
      <c r="E639" s="4" t="str">
        <f t="shared" si="30"/>
        <v>女</v>
      </c>
    </row>
    <row r="640" spans="1:5" ht="30" customHeight="1">
      <c r="A640" s="4">
        <v>638</v>
      </c>
      <c r="B640" s="4" t="str">
        <f>"39712022060109350378497"</f>
        <v>39712022060109350378497</v>
      </c>
      <c r="C640" s="4" t="s">
        <v>19</v>
      </c>
      <c r="D640" s="4" t="str">
        <f>"侯金言"</f>
        <v>侯金言</v>
      </c>
      <c r="E640" s="4" t="str">
        <f t="shared" si="30"/>
        <v>女</v>
      </c>
    </row>
    <row r="641" spans="1:5" ht="30" customHeight="1">
      <c r="A641" s="4">
        <v>639</v>
      </c>
      <c r="B641" s="4" t="str">
        <f>"39712022060110063378762"</f>
        <v>39712022060110063378762</v>
      </c>
      <c r="C641" s="4" t="s">
        <v>19</v>
      </c>
      <c r="D641" s="4" t="str">
        <f>"王秀琳"</f>
        <v>王秀琳</v>
      </c>
      <c r="E641" s="4" t="str">
        <f t="shared" si="30"/>
        <v>女</v>
      </c>
    </row>
    <row r="642" spans="1:5" ht="30" customHeight="1">
      <c r="A642" s="4">
        <v>640</v>
      </c>
      <c r="B642" s="4" t="str">
        <f>"39712022060110173978849"</f>
        <v>39712022060110173978849</v>
      </c>
      <c r="C642" s="4" t="s">
        <v>19</v>
      </c>
      <c r="D642" s="4" t="str">
        <f>"洪钰"</f>
        <v>洪钰</v>
      </c>
      <c r="E642" s="4" t="str">
        <f t="shared" si="30"/>
        <v>女</v>
      </c>
    </row>
    <row r="643" spans="1:5" ht="30" customHeight="1">
      <c r="A643" s="4">
        <v>641</v>
      </c>
      <c r="B643" s="4" t="str">
        <f>"39712022060111061179242"</f>
        <v>39712022060111061179242</v>
      </c>
      <c r="C643" s="4" t="s">
        <v>19</v>
      </c>
      <c r="D643" s="4" t="str">
        <f>"符恩希"</f>
        <v>符恩希</v>
      </c>
      <c r="E643" s="4" t="str">
        <f t="shared" si="30"/>
        <v>女</v>
      </c>
    </row>
    <row r="644" spans="1:5" ht="30" customHeight="1">
      <c r="A644" s="4">
        <v>642</v>
      </c>
      <c r="B644" s="4" t="str">
        <f>"39712022060111475679538"</f>
        <v>39712022060111475679538</v>
      </c>
      <c r="C644" s="4" t="s">
        <v>19</v>
      </c>
      <c r="D644" s="4" t="str">
        <f>"符汉弟"</f>
        <v>符汉弟</v>
      </c>
      <c r="E644" s="4" t="str">
        <f>"男"</f>
        <v>男</v>
      </c>
    </row>
    <row r="645" spans="1:5" ht="30" customHeight="1">
      <c r="A645" s="4">
        <v>643</v>
      </c>
      <c r="B645" s="4" t="str">
        <f>"39712022060112192579705"</f>
        <v>39712022060112192579705</v>
      </c>
      <c r="C645" s="4" t="s">
        <v>19</v>
      </c>
      <c r="D645" s="4" t="str">
        <f>"李雨娜"</f>
        <v>李雨娜</v>
      </c>
      <c r="E645" s="4" t="str">
        <f aca="true" t="shared" si="31" ref="E645:E705">"女"</f>
        <v>女</v>
      </c>
    </row>
    <row r="646" spans="1:5" ht="30" customHeight="1">
      <c r="A646" s="4">
        <v>644</v>
      </c>
      <c r="B646" s="4" t="str">
        <f>"39712022060116083780845"</f>
        <v>39712022060116083780845</v>
      </c>
      <c r="C646" s="4" t="s">
        <v>19</v>
      </c>
      <c r="D646" s="4" t="str">
        <f>"董嘉慧"</f>
        <v>董嘉慧</v>
      </c>
      <c r="E646" s="4" t="str">
        <f t="shared" si="31"/>
        <v>女</v>
      </c>
    </row>
    <row r="647" spans="1:5" ht="30" customHeight="1">
      <c r="A647" s="4">
        <v>645</v>
      </c>
      <c r="B647" s="4" t="str">
        <f>"39712022060116283380962"</f>
        <v>39712022060116283380962</v>
      </c>
      <c r="C647" s="4" t="s">
        <v>19</v>
      </c>
      <c r="D647" s="4" t="str">
        <f>"张沐淋"</f>
        <v>张沐淋</v>
      </c>
      <c r="E647" s="4" t="str">
        <f t="shared" si="31"/>
        <v>女</v>
      </c>
    </row>
    <row r="648" spans="1:5" ht="30" customHeight="1">
      <c r="A648" s="4">
        <v>646</v>
      </c>
      <c r="B648" s="4" t="str">
        <f>"39712022060118303381590"</f>
        <v>39712022060118303381590</v>
      </c>
      <c r="C648" s="4" t="s">
        <v>19</v>
      </c>
      <c r="D648" s="4" t="str">
        <f>"刘春艳"</f>
        <v>刘春艳</v>
      </c>
      <c r="E648" s="4" t="str">
        <f t="shared" si="31"/>
        <v>女</v>
      </c>
    </row>
    <row r="649" spans="1:5" ht="30" customHeight="1">
      <c r="A649" s="4">
        <v>647</v>
      </c>
      <c r="B649" s="4" t="str">
        <f>"39712022060118541881677"</f>
        <v>39712022060118541881677</v>
      </c>
      <c r="C649" s="4" t="s">
        <v>19</v>
      </c>
      <c r="D649" s="4" t="str">
        <f>"张彩兰"</f>
        <v>张彩兰</v>
      </c>
      <c r="E649" s="4" t="str">
        <f t="shared" si="31"/>
        <v>女</v>
      </c>
    </row>
    <row r="650" spans="1:5" ht="30" customHeight="1">
      <c r="A650" s="4">
        <v>648</v>
      </c>
      <c r="B650" s="4" t="str">
        <f>"39712022060120124882006"</f>
        <v>39712022060120124882006</v>
      </c>
      <c r="C650" s="4" t="s">
        <v>19</v>
      </c>
      <c r="D650" s="4" t="str">
        <f>"李暮言"</f>
        <v>李暮言</v>
      </c>
      <c r="E650" s="4" t="str">
        <f t="shared" si="31"/>
        <v>女</v>
      </c>
    </row>
    <row r="651" spans="1:5" ht="30" customHeight="1">
      <c r="A651" s="4">
        <v>649</v>
      </c>
      <c r="B651" s="4" t="str">
        <f>"39712022060121065882265"</f>
        <v>39712022060121065882265</v>
      </c>
      <c r="C651" s="4" t="s">
        <v>19</v>
      </c>
      <c r="D651" s="4" t="str">
        <f>"沈艺璇"</f>
        <v>沈艺璇</v>
      </c>
      <c r="E651" s="4" t="str">
        <f t="shared" si="31"/>
        <v>女</v>
      </c>
    </row>
    <row r="652" spans="1:5" ht="30" customHeight="1">
      <c r="A652" s="4">
        <v>650</v>
      </c>
      <c r="B652" s="4" t="str">
        <f>"39712022060121171282310"</f>
        <v>39712022060121171282310</v>
      </c>
      <c r="C652" s="4" t="s">
        <v>19</v>
      </c>
      <c r="D652" s="4" t="str">
        <f>"王静宇"</f>
        <v>王静宇</v>
      </c>
      <c r="E652" s="4" t="str">
        <f t="shared" si="31"/>
        <v>女</v>
      </c>
    </row>
    <row r="653" spans="1:5" ht="30" customHeight="1">
      <c r="A653" s="4">
        <v>651</v>
      </c>
      <c r="B653" s="4" t="str">
        <f>"39712022060121281682370"</f>
        <v>39712022060121281682370</v>
      </c>
      <c r="C653" s="4" t="s">
        <v>19</v>
      </c>
      <c r="D653" s="4" t="str">
        <f>"郑慧芬"</f>
        <v>郑慧芬</v>
      </c>
      <c r="E653" s="4" t="str">
        <f t="shared" si="31"/>
        <v>女</v>
      </c>
    </row>
    <row r="654" spans="1:5" ht="30" customHeight="1">
      <c r="A654" s="4">
        <v>652</v>
      </c>
      <c r="B654" s="4" t="str">
        <f>"39712022060121572682546"</f>
        <v>39712022060121572682546</v>
      </c>
      <c r="C654" s="4" t="s">
        <v>19</v>
      </c>
      <c r="D654" s="4" t="str">
        <f>"王雪儿"</f>
        <v>王雪儿</v>
      </c>
      <c r="E654" s="4" t="str">
        <f t="shared" si="31"/>
        <v>女</v>
      </c>
    </row>
    <row r="655" spans="1:5" ht="30" customHeight="1">
      <c r="A655" s="4">
        <v>653</v>
      </c>
      <c r="B655" s="4" t="str">
        <f>"39712022060122095182611"</f>
        <v>39712022060122095182611</v>
      </c>
      <c r="C655" s="4" t="s">
        <v>19</v>
      </c>
      <c r="D655" s="4" t="str">
        <f>"符妙"</f>
        <v>符妙</v>
      </c>
      <c r="E655" s="4" t="str">
        <f t="shared" si="31"/>
        <v>女</v>
      </c>
    </row>
    <row r="656" spans="1:5" ht="30" customHeight="1">
      <c r="A656" s="4">
        <v>654</v>
      </c>
      <c r="B656" s="4" t="str">
        <f>"39712022060122530882836"</f>
        <v>39712022060122530882836</v>
      </c>
      <c r="C656" s="4" t="s">
        <v>19</v>
      </c>
      <c r="D656" s="4" t="str">
        <f>"钟良妃"</f>
        <v>钟良妃</v>
      </c>
      <c r="E656" s="4" t="str">
        <f t="shared" si="31"/>
        <v>女</v>
      </c>
    </row>
    <row r="657" spans="1:5" ht="30" customHeight="1">
      <c r="A657" s="4">
        <v>655</v>
      </c>
      <c r="B657" s="4" t="str">
        <f>"39712022060200185283073"</f>
        <v>39712022060200185283073</v>
      </c>
      <c r="C657" s="4" t="s">
        <v>19</v>
      </c>
      <c r="D657" s="4" t="str">
        <f>"周颖"</f>
        <v>周颖</v>
      </c>
      <c r="E657" s="4" t="str">
        <f t="shared" si="31"/>
        <v>女</v>
      </c>
    </row>
    <row r="658" spans="1:5" ht="30" customHeight="1">
      <c r="A658" s="4">
        <v>656</v>
      </c>
      <c r="B658" s="4" t="str">
        <f>"39712022060211380684654"</f>
        <v>39712022060211380684654</v>
      </c>
      <c r="C658" s="4" t="s">
        <v>19</v>
      </c>
      <c r="D658" s="4" t="str">
        <f>"张鼎飞"</f>
        <v>张鼎飞</v>
      </c>
      <c r="E658" s="4" t="str">
        <f t="shared" si="31"/>
        <v>女</v>
      </c>
    </row>
    <row r="659" spans="1:5" ht="30" customHeight="1">
      <c r="A659" s="4">
        <v>657</v>
      </c>
      <c r="B659" s="4" t="str">
        <f>"39712022060212231784899"</f>
        <v>39712022060212231784899</v>
      </c>
      <c r="C659" s="4" t="s">
        <v>19</v>
      </c>
      <c r="D659" s="4" t="str">
        <f>"曾灵"</f>
        <v>曾灵</v>
      </c>
      <c r="E659" s="4" t="str">
        <f t="shared" si="31"/>
        <v>女</v>
      </c>
    </row>
    <row r="660" spans="1:5" ht="30" customHeight="1">
      <c r="A660" s="4">
        <v>658</v>
      </c>
      <c r="B660" s="4" t="str">
        <f>"39712022060213335285273"</f>
        <v>39712022060213335285273</v>
      </c>
      <c r="C660" s="4" t="s">
        <v>19</v>
      </c>
      <c r="D660" s="4" t="str">
        <f>"丁昊琦"</f>
        <v>丁昊琦</v>
      </c>
      <c r="E660" s="4" t="str">
        <f t="shared" si="31"/>
        <v>女</v>
      </c>
    </row>
    <row r="661" spans="1:5" ht="30" customHeight="1">
      <c r="A661" s="4">
        <v>659</v>
      </c>
      <c r="B661" s="4" t="str">
        <f>"39712022060213453685323"</f>
        <v>39712022060213453685323</v>
      </c>
      <c r="C661" s="4" t="s">
        <v>19</v>
      </c>
      <c r="D661" s="4" t="str">
        <f>"林艳"</f>
        <v>林艳</v>
      </c>
      <c r="E661" s="4" t="str">
        <f t="shared" si="31"/>
        <v>女</v>
      </c>
    </row>
    <row r="662" spans="1:5" ht="30" customHeight="1">
      <c r="A662" s="4">
        <v>660</v>
      </c>
      <c r="B662" s="4" t="str">
        <f>"39712022060214272885490"</f>
        <v>39712022060214272885490</v>
      </c>
      <c r="C662" s="4" t="s">
        <v>19</v>
      </c>
      <c r="D662" s="4" t="str">
        <f>"李文靖"</f>
        <v>李文靖</v>
      </c>
      <c r="E662" s="4" t="str">
        <f t="shared" si="31"/>
        <v>女</v>
      </c>
    </row>
    <row r="663" spans="1:5" ht="30" customHeight="1">
      <c r="A663" s="4">
        <v>661</v>
      </c>
      <c r="B663" s="4" t="str">
        <f>"39712022060218594086761"</f>
        <v>39712022060218594086761</v>
      </c>
      <c r="C663" s="4" t="s">
        <v>19</v>
      </c>
      <c r="D663" s="4" t="str">
        <f>"李茵茵"</f>
        <v>李茵茵</v>
      </c>
      <c r="E663" s="4" t="str">
        <f t="shared" si="31"/>
        <v>女</v>
      </c>
    </row>
    <row r="664" spans="1:5" ht="30" customHeight="1">
      <c r="A664" s="4">
        <v>662</v>
      </c>
      <c r="B664" s="4" t="str">
        <f>"39712022060220004686933"</f>
        <v>39712022060220004686933</v>
      </c>
      <c r="C664" s="4" t="s">
        <v>19</v>
      </c>
      <c r="D664" s="4" t="str">
        <f>"吴李和"</f>
        <v>吴李和</v>
      </c>
      <c r="E664" s="4" t="str">
        <f t="shared" si="31"/>
        <v>女</v>
      </c>
    </row>
    <row r="665" spans="1:5" ht="30" customHeight="1">
      <c r="A665" s="4">
        <v>663</v>
      </c>
      <c r="B665" s="4" t="str">
        <f>"39712022060313360487978"</f>
        <v>39712022060313360487978</v>
      </c>
      <c r="C665" s="4" t="s">
        <v>19</v>
      </c>
      <c r="D665" s="4" t="str">
        <f>"丁怡"</f>
        <v>丁怡</v>
      </c>
      <c r="E665" s="4" t="str">
        <f t="shared" si="31"/>
        <v>女</v>
      </c>
    </row>
    <row r="666" spans="1:5" ht="30" customHeight="1">
      <c r="A666" s="4">
        <v>664</v>
      </c>
      <c r="B666" s="4" t="str">
        <f>"39712022060317062388160"</f>
        <v>39712022060317062388160</v>
      </c>
      <c r="C666" s="4" t="s">
        <v>19</v>
      </c>
      <c r="D666" s="4" t="str">
        <f>"林小妹"</f>
        <v>林小妹</v>
      </c>
      <c r="E666" s="4" t="str">
        <f t="shared" si="31"/>
        <v>女</v>
      </c>
    </row>
    <row r="667" spans="1:5" ht="30" customHeight="1">
      <c r="A667" s="4">
        <v>665</v>
      </c>
      <c r="B667" s="4" t="str">
        <f>"39712022060318041588221"</f>
        <v>39712022060318041588221</v>
      </c>
      <c r="C667" s="4" t="s">
        <v>19</v>
      </c>
      <c r="D667" s="4" t="str">
        <f>"张晓玲"</f>
        <v>张晓玲</v>
      </c>
      <c r="E667" s="4" t="str">
        <f t="shared" si="31"/>
        <v>女</v>
      </c>
    </row>
    <row r="668" spans="1:5" ht="30" customHeight="1">
      <c r="A668" s="4">
        <v>666</v>
      </c>
      <c r="B668" s="4" t="str">
        <f>"39712022060319172288279"</f>
        <v>39712022060319172288279</v>
      </c>
      <c r="C668" s="4" t="s">
        <v>19</v>
      </c>
      <c r="D668" s="4" t="str">
        <f>"于彤"</f>
        <v>于彤</v>
      </c>
      <c r="E668" s="4" t="str">
        <f t="shared" si="31"/>
        <v>女</v>
      </c>
    </row>
    <row r="669" spans="1:5" ht="30" customHeight="1">
      <c r="A669" s="4">
        <v>667</v>
      </c>
      <c r="B669" s="4" t="str">
        <f>"39712022060321325488412"</f>
        <v>39712022060321325488412</v>
      </c>
      <c r="C669" s="4" t="s">
        <v>19</v>
      </c>
      <c r="D669" s="4" t="str">
        <f>"王桂云"</f>
        <v>王桂云</v>
      </c>
      <c r="E669" s="4" t="str">
        <f t="shared" si="31"/>
        <v>女</v>
      </c>
    </row>
    <row r="670" spans="1:5" ht="30" customHeight="1">
      <c r="A670" s="4">
        <v>668</v>
      </c>
      <c r="B670" s="4" t="str">
        <f>"39712022060409514888665"</f>
        <v>39712022060409514888665</v>
      </c>
      <c r="C670" s="4" t="s">
        <v>19</v>
      </c>
      <c r="D670" s="4" t="str">
        <f>"林赐丹"</f>
        <v>林赐丹</v>
      </c>
      <c r="E670" s="4" t="str">
        <f t="shared" si="31"/>
        <v>女</v>
      </c>
    </row>
    <row r="671" spans="1:5" ht="30" customHeight="1">
      <c r="A671" s="4">
        <v>669</v>
      </c>
      <c r="B671" s="4" t="str">
        <f>"39712022060411070088782"</f>
        <v>39712022060411070088782</v>
      </c>
      <c r="C671" s="4" t="s">
        <v>19</v>
      </c>
      <c r="D671" s="4" t="str">
        <f>"林慕娇"</f>
        <v>林慕娇</v>
      </c>
      <c r="E671" s="4" t="str">
        <f t="shared" si="31"/>
        <v>女</v>
      </c>
    </row>
    <row r="672" spans="1:5" ht="30" customHeight="1">
      <c r="A672" s="4">
        <v>670</v>
      </c>
      <c r="B672" s="4" t="str">
        <f>"39712022060412461288879"</f>
        <v>39712022060412461288879</v>
      </c>
      <c r="C672" s="4" t="s">
        <v>19</v>
      </c>
      <c r="D672" s="4" t="str">
        <f>"陈蕊"</f>
        <v>陈蕊</v>
      </c>
      <c r="E672" s="4" t="str">
        <f t="shared" si="31"/>
        <v>女</v>
      </c>
    </row>
    <row r="673" spans="1:5" ht="30" customHeight="1">
      <c r="A673" s="4">
        <v>671</v>
      </c>
      <c r="B673" s="4" t="str">
        <f>"39712022060421245389390"</f>
        <v>39712022060421245389390</v>
      </c>
      <c r="C673" s="4" t="s">
        <v>19</v>
      </c>
      <c r="D673" s="4" t="str">
        <f>"关晶晶"</f>
        <v>关晶晶</v>
      </c>
      <c r="E673" s="4" t="str">
        <f t="shared" si="31"/>
        <v>女</v>
      </c>
    </row>
    <row r="674" spans="1:5" ht="30" customHeight="1">
      <c r="A674" s="4">
        <v>672</v>
      </c>
      <c r="B674" s="4" t="str">
        <f>"39712022060515421390209"</f>
        <v>39712022060515421390209</v>
      </c>
      <c r="C674" s="4" t="s">
        <v>19</v>
      </c>
      <c r="D674" s="4" t="str">
        <f>"林淑怡"</f>
        <v>林淑怡</v>
      </c>
      <c r="E674" s="4" t="str">
        <f t="shared" si="31"/>
        <v>女</v>
      </c>
    </row>
    <row r="675" spans="1:5" ht="30" customHeight="1">
      <c r="A675" s="4">
        <v>673</v>
      </c>
      <c r="B675" s="4" t="str">
        <f>"39712022060516281390268"</f>
        <v>39712022060516281390268</v>
      </c>
      <c r="C675" s="4" t="s">
        <v>19</v>
      </c>
      <c r="D675" s="4" t="str">
        <f>"戴晨露"</f>
        <v>戴晨露</v>
      </c>
      <c r="E675" s="4" t="str">
        <f t="shared" si="31"/>
        <v>女</v>
      </c>
    </row>
    <row r="676" spans="1:5" ht="30" customHeight="1">
      <c r="A676" s="4">
        <v>674</v>
      </c>
      <c r="B676" s="4" t="str">
        <f>"39712022060600422391000"</f>
        <v>39712022060600422391000</v>
      </c>
      <c r="C676" s="4" t="s">
        <v>19</v>
      </c>
      <c r="D676" s="4" t="str">
        <f>"陈丽萍"</f>
        <v>陈丽萍</v>
      </c>
      <c r="E676" s="4" t="str">
        <f t="shared" si="31"/>
        <v>女</v>
      </c>
    </row>
    <row r="677" spans="1:5" ht="30" customHeight="1">
      <c r="A677" s="4">
        <v>675</v>
      </c>
      <c r="B677" s="4" t="str">
        <f>"39712022060614064396899"</f>
        <v>39712022060614064396899</v>
      </c>
      <c r="C677" s="4" t="s">
        <v>19</v>
      </c>
      <c r="D677" s="4" t="str">
        <f>"卓碧佳"</f>
        <v>卓碧佳</v>
      </c>
      <c r="E677" s="4" t="str">
        <f t="shared" si="31"/>
        <v>女</v>
      </c>
    </row>
    <row r="678" spans="1:5" ht="30" customHeight="1">
      <c r="A678" s="4">
        <v>676</v>
      </c>
      <c r="B678" s="4" t="str">
        <f>"39712022060614430697263"</f>
        <v>39712022060614430697263</v>
      </c>
      <c r="C678" s="4" t="s">
        <v>19</v>
      </c>
      <c r="D678" s="4" t="str">
        <f>"张智敏"</f>
        <v>张智敏</v>
      </c>
      <c r="E678" s="4" t="str">
        <f t="shared" si="31"/>
        <v>女</v>
      </c>
    </row>
    <row r="679" spans="1:5" ht="30" customHeight="1">
      <c r="A679" s="4">
        <v>677</v>
      </c>
      <c r="B679" s="4" t="str">
        <f>"397120220606203904100968"</f>
        <v>397120220606203904100968</v>
      </c>
      <c r="C679" s="4" t="s">
        <v>19</v>
      </c>
      <c r="D679" s="4" t="str">
        <f>"何晓蝶"</f>
        <v>何晓蝶</v>
      </c>
      <c r="E679" s="4" t="str">
        <f t="shared" si="31"/>
        <v>女</v>
      </c>
    </row>
    <row r="680" spans="1:5" ht="30" customHeight="1">
      <c r="A680" s="4">
        <v>678</v>
      </c>
      <c r="B680" s="4" t="str">
        <f>"397120220607122346105615"</f>
        <v>397120220607122346105615</v>
      </c>
      <c r="C680" s="4" t="s">
        <v>19</v>
      </c>
      <c r="D680" s="4" t="str">
        <f>"刘殊贝"</f>
        <v>刘殊贝</v>
      </c>
      <c r="E680" s="4" t="str">
        <f t="shared" si="31"/>
        <v>女</v>
      </c>
    </row>
    <row r="681" spans="1:5" ht="30" customHeight="1">
      <c r="A681" s="4">
        <v>679</v>
      </c>
      <c r="B681" s="4" t="str">
        <f>"397120220607141634106394"</f>
        <v>397120220607141634106394</v>
      </c>
      <c r="C681" s="4" t="s">
        <v>19</v>
      </c>
      <c r="D681" s="4" t="str">
        <f>"罗仙"</f>
        <v>罗仙</v>
      </c>
      <c r="E681" s="4" t="str">
        <f t="shared" si="31"/>
        <v>女</v>
      </c>
    </row>
    <row r="682" spans="1:5" ht="30" customHeight="1">
      <c r="A682" s="4">
        <v>680</v>
      </c>
      <c r="B682" s="4" t="str">
        <f>"397120220607152337106994"</f>
        <v>397120220607152337106994</v>
      </c>
      <c r="C682" s="4" t="s">
        <v>19</v>
      </c>
      <c r="D682" s="4" t="str">
        <f>"曾德敏"</f>
        <v>曾德敏</v>
      </c>
      <c r="E682" s="4" t="str">
        <f t="shared" si="31"/>
        <v>女</v>
      </c>
    </row>
    <row r="683" spans="1:5" ht="30" customHeight="1">
      <c r="A683" s="4">
        <v>681</v>
      </c>
      <c r="B683" s="4" t="str">
        <f>"397120220607155719107365"</f>
        <v>397120220607155719107365</v>
      </c>
      <c r="C683" s="4" t="s">
        <v>19</v>
      </c>
      <c r="D683" s="4" t="str">
        <f>"林开娇"</f>
        <v>林开娇</v>
      </c>
      <c r="E683" s="4" t="str">
        <f t="shared" si="31"/>
        <v>女</v>
      </c>
    </row>
    <row r="684" spans="1:5" ht="30" customHeight="1">
      <c r="A684" s="4">
        <v>682</v>
      </c>
      <c r="B684" s="4" t="str">
        <f>"397120220607181253108555"</f>
        <v>397120220607181253108555</v>
      </c>
      <c r="C684" s="4" t="s">
        <v>19</v>
      </c>
      <c r="D684" s="4" t="str">
        <f>"徐海溢"</f>
        <v>徐海溢</v>
      </c>
      <c r="E684" s="4" t="str">
        <f t="shared" si="31"/>
        <v>女</v>
      </c>
    </row>
    <row r="685" spans="1:5" ht="30" customHeight="1">
      <c r="A685" s="4">
        <v>683</v>
      </c>
      <c r="B685" s="4" t="str">
        <f>"397120220608053735110761"</f>
        <v>397120220608053735110761</v>
      </c>
      <c r="C685" s="4" t="s">
        <v>19</v>
      </c>
      <c r="D685" s="4" t="str">
        <f>"刘郑喆"</f>
        <v>刘郑喆</v>
      </c>
      <c r="E685" s="4" t="str">
        <f t="shared" si="31"/>
        <v>女</v>
      </c>
    </row>
    <row r="686" spans="1:5" ht="30" customHeight="1">
      <c r="A686" s="4">
        <v>684</v>
      </c>
      <c r="B686" s="4" t="str">
        <f>"39712022060109071378236"</f>
        <v>39712022060109071378236</v>
      </c>
      <c r="C686" s="4" t="s">
        <v>20</v>
      </c>
      <c r="D686" s="4" t="str">
        <f>"吴冬琴"</f>
        <v>吴冬琴</v>
      </c>
      <c r="E686" s="4" t="str">
        <f t="shared" si="31"/>
        <v>女</v>
      </c>
    </row>
    <row r="687" spans="1:5" ht="30" customHeight="1">
      <c r="A687" s="4">
        <v>685</v>
      </c>
      <c r="B687" s="4" t="str">
        <f>"39712022060109285078445"</f>
        <v>39712022060109285078445</v>
      </c>
      <c r="C687" s="4" t="s">
        <v>20</v>
      </c>
      <c r="D687" s="4" t="str">
        <f>"黄伟"</f>
        <v>黄伟</v>
      </c>
      <c r="E687" s="4" t="str">
        <f t="shared" si="31"/>
        <v>女</v>
      </c>
    </row>
    <row r="688" spans="1:5" ht="30" customHeight="1">
      <c r="A688" s="4">
        <v>686</v>
      </c>
      <c r="B688" s="4" t="str">
        <f>"39712022060109414778552"</f>
        <v>39712022060109414778552</v>
      </c>
      <c r="C688" s="4" t="s">
        <v>20</v>
      </c>
      <c r="D688" s="4" t="str">
        <f>"梁娜"</f>
        <v>梁娜</v>
      </c>
      <c r="E688" s="4" t="str">
        <f t="shared" si="31"/>
        <v>女</v>
      </c>
    </row>
    <row r="689" spans="1:5" ht="30" customHeight="1">
      <c r="A689" s="4">
        <v>687</v>
      </c>
      <c r="B689" s="4" t="str">
        <f>"39712022060109524878648"</f>
        <v>39712022060109524878648</v>
      </c>
      <c r="C689" s="4" t="s">
        <v>20</v>
      </c>
      <c r="D689" s="4" t="str">
        <f>"吴金萍"</f>
        <v>吴金萍</v>
      </c>
      <c r="E689" s="4" t="str">
        <f t="shared" si="31"/>
        <v>女</v>
      </c>
    </row>
    <row r="690" spans="1:5" ht="30" customHeight="1">
      <c r="A690" s="4">
        <v>688</v>
      </c>
      <c r="B690" s="4" t="str">
        <f>"39712022060110335578990"</f>
        <v>39712022060110335578990</v>
      </c>
      <c r="C690" s="4" t="s">
        <v>20</v>
      </c>
      <c r="D690" s="4" t="str">
        <f>"蒙妮"</f>
        <v>蒙妮</v>
      </c>
      <c r="E690" s="4" t="str">
        <f t="shared" si="31"/>
        <v>女</v>
      </c>
    </row>
    <row r="691" spans="1:5" ht="30" customHeight="1">
      <c r="A691" s="4">
        <v>689</v>
      </c>
      <c r="B691" s="4" t="str">
        <f>"39712022060113474280133"</f>
        <v>39712022060113474280133</v>
      </c>
      <c r="C691" s="4" t="s">
        <v>20</v>
      </c>
      <c r="D691" s="4" t="str">
        <f>"陈临靖"</f>
        <v>陈临靖</v>
      </c>
      <c r="E691" s="4" t="str">
        <f t="shared" si="31"/>
        <v>女</v>
      </c>
    </row>
    <row r="692" spans="1:5" ht="30" customHeight="1">
      <c r="A692" s="4">
        <v>690</v>
      </c>
      <c r="B692" s="4" t="str">
        <f>"39712022060114145180229"</f>
        <v>39712022060114145180229</v>
      </c>
      <c r="C692" s="4" t="s">
        <v>20</v>
      </c>
      <c r="D692" s="4" t="str">
        <f>"王微"</f>
        <v>王微</v>
      </c>
      <c r="E692" s="4" t="str">
        <f t="shared" si="31"/>
        <v>女</v>
      </c>
    </row>
    <row r="693" spans="1:5" ht="30" customHeight="1">
      <c r="A693" s="4">
        <v>691</v>
      </c>
      <c r="B693" s="4" t="str">
        <f>"39712022060117042981159"</f>
        <v>39712022060117042981159</v>
      </c>
      <c r="C693" s="4" t="s">
        <v>20</v>
      </c>
      <c r="D693" s="4" t="str">
        <f>"赵泽恩"</f>
        <v>赵泽恩</v>
      </c>
      <c r="E693" s="4" t="str">
        <f t="shared" si="31"/>
        <v>女</v>
      </c>
    </row>
    <row r="694" spans="1:5" ht="30" customHeight="1">
      <c r="A694" s="4">
        <v>692</v>
      </c>
      <c r="B694" s="4" t="str">
        <f>"39712022060117503181409"</f>
        <v>39712022060117503181409</v>
      </c>
      <c r="C694" s="4" t="s">
        <v>20</v>
      </c>
      <c r="D694" s="4" t="str">
        <f>"羊彩春 "</f>
        <v>羊彩春 </v>
      </c>
      <c r="E694" s="4" t="str">
        <f t="shared" si="31"/>
        <v>女</v>
      </c>
    </row>
    <row r="695" spans="1:5" ht="30" customHeight="1">
      <c r="A695" s="4">
        <v>693</v>
      </c>
      <c r="B695" s="4" t="str">
        <f>"39712022060118161281524"</f>
        <v>39712022060118161281524</v>
      </c>
      <c r="C695" s="4" t="s">
        <v>20</v>
      </c>
      <c r="D695" s="4" t="str">
        <f>"吴显慧"</f>
        <v>吴显慧</v>
      </c>
      <c r="E695" s="4" t="str">
        <f t="shared" si="31"/>
        <v>女</v>
      </c>
    </row>
    <row r="696" spans="1:5" ht="30" customHeight="1">
      <c r="A696" s="4">
        <v>694</v>
      </c>
      <c r="B696" s="4" t="str">
        <f>"39712022060119424281872"</f>
        <v>39712022060119424281872</v>
      </c>
      <c r="C696" s="4" t="s">
        <v>20</v>
      </c>
      <c r="D696" s="4" t="str">
        <f>"朱倩倩"</f>
        <v>朱倩倩</v>
      </c>
      <c r="E696" s="4" t="str">
        <f t="shared" si="31"/>
        <v>女</v>
      </c>
    </row>
    <row r="697" spans="1:5" ht="30" customHeight="1">
      <c r="A697" s="4">
        <v>695</v>
      </c>
      <c r="B697" s="4" t="str">
        <f>"39712022060122193982667"</f>
        <v>39712022060122193982667</v>
      </c>
      <c r="C697" s="4" t="s">
        <v>20</v>
      </c>
      <c r="D697" s="4" t="str">
        <f>"孟晨"</f>
        <v>孟晨</v>
      </c>
      <c r="E697" s="4" t="str">
        <f t="shared" si="31"/>
        <v>女</v>
      </c>
    </row>
    <row r="698" spans="1:5" ht="30" customHeight="1">
      <c r="A698" s="4">
        <v>696</v>
      </c>
      <c r="B698" s="4" t="str">
        <f>"39712022060200260083084"</f>
        <v>39712022060200260083084</v>
      </c>
      <c r="C698" s="4" t="s">
        <v>20</v>
      </c>
      <c r="D698" s="4" t="str">
        <f>"尹湘"</f>
        <v>尹湘</v>
      </c>
      <c r="E698" s="4" t="str">
        <f t="shared" si="31"/>
        <v>女</v>
      </c>
    </row>
    <row r="699" spans="1:5" ht="30" customHeight="1">
      <c r="A699" s="4">
        <v>697</v>
      </c>
      <c r="B699" s="4" t="str">
        <f>"39712022060211075584456"</f>
        <v>39712022060211075584456</v>
      </c>
      <c r="C699" s="4" t="s">
        <v>20</v>
      </c>
      <c r="D699" s="4" t="str">
        <f>"宋琳"</f>
        <v>宋琳</v>
      </c>
      <c r="E699" s="4" t="str">
        <f t="shared" si="31"/>
        <v>女</v>
      </c>
    </row>
    <row r="700" spans="1:5" ht="30" customHeight="1">
      <c r="A700" s="4">
        <v>698</v>
      </c>
      <c r="B700" s="4" t="str">
        <f>"39712022060312132287905"</f>
        <v>39712022060312132287905</v>
      </c>
      <c r="C700" s="4" t="s">
        <v>20</v>
      </c>
      <c r="D700" s="4" t="str">
        <f>"龙世慧"</f>
        <v>龙世慧</v>
      </c>
      <c r="E700" s="4" t="str">
        <f t="shared" si="31"/>
        <v>女</v>
      </c>
    </row>
    <row r="701" spans="1:5" ht="30" customHeight="1">
      <c r="A701" s="4">
        <v>699</v>
      </c>
      <c r="B701" s="4" t="str">
        <f>"39712022060315054288045"</f>
        <v>39712022060315054288045</v>
      </c>
      <c r="C701" s="4" t="s">
        <v>20</v>
      </c>
      <c r="D701" s="4" t="str">
        <f>"吕思"</f>
        <v>吕思</v>
      </c>
      <c r="E701" s="4" t="str">
        <f t="shared" si="31"/>
        <v>女</v>
      </c>
    </row>
    <row r="702" spans="1:5" ht="30" customHeight="1">
      <c r="A702" s="4">
        <v>700</v>
      </c>
      <c r="B702" s="4" t="str">
        <f>"39712022060315105488050"</f>
        <v>39712022060315105488050</v>
      </c>
      <c r="C702" s="4" t="s">
        <v>20</v>
      </c>
      <c r="D702" s="4" t="str">
        <f>"梁宏兰"</f>
        <v>梁宏兰</v>
      </c>
      <c r="E702" s="4" t="str">
        <f t="shared" si="31"/>
        <v>女</v>
      </c>
    </row>
    <row r="703" spans="1:5" ht="30" customHeight="1">
      <c r="A703" s="4">
        <v>701</v>
      </c>
      <c r="B703" s="4" t="str">
        <f>"39712022060405071488580"</f>
        <v>39712022060405071488580</v>
      </c>
      <c r="C703" s="4" t="s">
        <v>20</v>
      </c>
      <c r="D703" s="4" t="str">
        <f>"李斐"</f>
        <v>李斐</v>
      </c>
      <c r="E703" s="4" t="str">
        <f t="shared" si="31"/>
        <v>女</v>
      </c>
    </row>
    <row r="704" spans="1:5" ht="30" customHeight="1">
      <c r="A704" s="4">
        <v>702</v>
      </c>
      <c r="B704" s="4" t="str">
        <f>"39712022060413233588920"</f>
        <v>39712022060413233588920</v>
      </c>
      <c r="C704" s="4" t="s">
        <v>20</v>
      </c>
      <c r="D704" s="4" t="str">
        <f>"钟云"</f>
        <v>钟云</v>
      </c>
      <c r="E704" s="4" t="str">
        <f t="shared" si="31"/>
        <v>女</v>
      </c>
    </row>
    <row r="705" spans="1:5" ht="30" customHeight="1">
      <c r="A705" s="4">
        <v>703</v>
      </c>
      <c r="B705" s="4" t="str">
        <f>"39712022060420250289320"</f>
        <v>39712022060420250289320</v>
      </c>
      <c r="C705" s="4" t="s">
        <v>20</v>
      </c>
      <c r="D705" s="4" t="str">
        <f>"钟丽"</f>
        <v>钟丽</v>
      </c>
      <c r="E705" s="4" t="str">
        <f t="shared" si="31"/>
        <v>女</v>
      </c>
    </row>
    <row r="706" spans="1:5" ht="30" customHeight="1">
      <c r="A706" s="4">
        <v>704</v>
      </c>
      <c r="B706" s="4" t="str">
        <f>"39712022060509211289654"</f>
        <v>39712022060509211289654</v>
      </c>
      <c r="C706" s="4" t="s">
        <v>20</v>
      </c>
      <c r="D706" s="4" t="str">
        <f>"韦勇楠"</f>
        <v>韦勇楠</v>
      </c>
      <c r="E706" s="4" t="str">
        <f>"男"</f>
        <v>男</v>
      </c>
    </row>
    <row r="707" spans="1:5" ht="30" customHeight="1">
      <c r="A707" s="4">
        <v>705</v>
      </c>
      <c r="B707" s="4" t="str">
        <f>"39712022060510541289830"</f>
        <v>39712022060510541289830</v>
      </c>
      <c r="C707" s="4" t="s">
        <v>20</v>
      </c>
      <c r="D707" s="4" t="str">
        <f>"李慧敏"</f>
        <v>李慧敏</v>
      </c>
      <c r="E707" s="4" t="str">
        <f>"女"</f>
        <v>女</v>
      </c>
    </row>
    <row r="708" spans="1:5" ht="30" customHeight="1">
      <c r="A708" s="4">
        <v>706</v>
      </c>
      <c r="B708" s="4" t="str">
        <f>"39712022060516224390263"</f>
        <v>39712022060516224390263</v>
      </c>
      <c r="C708" s="4" t="s">
        <v>20</v>
      </c>
      <c r="D708" s="4" t="str">
        <f>"林世芳"</f>
        <v>林世芳</v>
      </c>
      <c r="E708" s="4" t="str">
        <f>"女"</f>
        <v>女</v>
      </c>
    </row>
    <row r="709" spans="1:5" ht="30" customHeight="1">
      <c r="A709" s="4">
        <v>707</v>
      </c>
      <c r="B709" s="4" t="str">
        <f>"39712022060519001590489"</f>
        <v>39712022060519001590489</v>
      </c>
      <c r="C709" s="4" t="s">
        <v>20</v>
      </c>
      <c r="D709" s="4" t="str">
        <f>"郑愉雨"</f>
        <v>郑愉雨</v>
      </c>
      <c r="E709" s="4" t="str">
        <f>"女"</f>
        <v>女</v>
      </c>
    </row>
    <row r="710" spans="1:5" ht="30" customHeight="1">
      <c r="A710" s="4">
        <v>708</v>
      </c>
      <c r="B710" s="4" t="str">
        <f>"39712022060521151890668"</f>
        <v>39712022060521151890668</v>
      </c>
      <c r="C710" s="4" t="s">
        <v>20</v>
      </c>
      <c r="D710" s="4" t="str">
        <f>"范昕东"</f>
        <v>范昕东</v>
      </c>
      <c r="E710" s="4" t="str">
        <f>"女"</f>
        <v>女</v>
      </c>
    </row>
    <row r="711" spans="1:5" ht="30" customHeight="1">
      <c r="A711" s="4">
        <v>709</v>
      </c>
      <c r="B711" s="4" t="str">
        <f>"39712022060521160690670"</f>
        <v>39712022060521160690670</v>
      </c>
      <c r="C711" s="4" t="s">
        <v>20</v>
      </c>
      <c r="D711" s="4" t="str">
        <f>"尚文博"</f>
        <v>尚文博</v>
      </c>
      <c r="E711" s="4" t="str">
        <f>"男"</f>
        <v>男</v>
      </c>
    </row>
    <row r="712" spans="1:5" ht="30" customHeight="1">
      <c r="A712" s="4">
        <v>710</v>
      </c>
      <c r="B712" s="4" t="str">
        <f>"39712022060616574999068"</f>
        <v>39712022060616574999068</v>
      </c>
      <c r="C712" s="4" t="s">
        <v>20</v>
      </c>
      <c r="D712" s="4" t="str">
        <f>"黄香坛"</f>
        <v>黄香坛</v>
      </c>
      <c r="E712" s="4" t="str">
        <f>"女"</f>
        <v>女</v>
      </c>
    </row>
    <row r="713" spans="1:5" ht="30" customHeight="1">
      <c r="A713" s="4">
        <v>711</v>
      </c>
      <c r="B713" s="4" t="str">
        <f>"397120220606184443100045"</f>
        <v>397120220606184443100045</v>
      </c>
      <c r="C713" s="4" t="s">
        <v>20</v>
      </c>
      <c r="D713" s="4" t="str">
        <f>"李昊霖"</f>
        <v>李昊霖</v>
      </c>
      <c r="E713" s="4" t="str">
        <f>"男"</f>
        <v>男</v>
      </c>
    </row>
    <row r="714" spans="1:5" ht="30" customHeight="1">
      <c r="A714" s="4">
        <v>712</v>
      </c>
      <c r="B714" s="4" t="str">
        <f>"397120220606220605101725"</f>
        <v>397120220606220605101725</v>
      </c>
      <c r="C714" s="4" t="s">
        <v>20</v>
      </c>
      <c r="D714" s="4" t="str">
        <f>"张太欣"</f>
        <v>张太欣</v>
      </c>
      <c r="E714" s="4" t="str">
        <f aca="true" t="shared" si="32" ref="E714:E723">"女"</f>
        <v>女</v>
      </c>
    </row>
    <row r="715" spans="1:5" ht="30" customHeight="1">
      <c r="A715" s="4">
        <v>713</v>
      </c>
      <c r="B715" s="4" t="str">
        <f>"397120220607230349110436"</f>
        <v>397120220607230349110436</v>
      </c>
      <c r="C715" s="4" t="s">
        <v>20</v>
      </c>
      <c r="D715" s="4" t="str">
        <f>"王四妹"</f>
        <v>王四妹</v>
      </c>
      <c r="E715" s="4" t="str">
        <f t="shared" si="32"/>
        <v>女</v>
      </c>
    </row>
    <row r="716" spans="1:5" ht="30" customHeight="1">
      <c r="A716" s="4">
        <v>714</v>
      </c>
      <c r="B716" s="4" t="str">
        <f>"397120220608001255110632"</f>
        <v>397120220608001255110632</v>
      </c>
      <c r="C716" s="4" t="s">
        <v>20</v>
      </c>
      <c r="D716" s="4" t="str">
        <f>"王倩"</f>
        <v>王倩</v>
      </c>
      <c r="E716" s="4" t="str">
        <f t="shared" si="32"/>
        <v>女</v>
      </c>
    </row>
    <row r="717" spans="1:5" ht="30" customHeight="1">
      <c r="A717" s="4">
        <v>715</v>
      </c>
      <c r="B717" s="4" t="str">
        <f>"397120220608102420111895"</f>
        <v>397120220608102420111895</v>
      </c>
      <c r="C717" s="4" t="s">
        <v>20</v>
      </c>
      <c r="D717" s="4" t="str">
        <f>"李思雨"</f>
        <v>李思雨</v>
      </c>
      <c r="E717" s="4" t="str">
        <f t="shared" si="32"/>
        <v>女</v>
      </c>
    </row>
    <row r="718" spans="1:5" ht="30" customHeight="1">
      <c r="A718" s="4">
        <v>716</v>
      </c>
      <c r="B718" s="4" t="str">
        <f>"397120220608115943112682"</f>
        <v>397120220608115943112682</v>
      </c>
      <c r="C718" s="4" t="s">
        <v>20</v>
      </c>
      <c r="D718" s="4" t="str">
        <f>"朱海静"</f>
        <v>朱海静</v>
      </c>
      <c r="E718" s="4" t="str">
        <f t="shared" si="32"/>
        <v>女</v>
      </c>
    </row>
    <row r="719" spans="1:5" ht="30" customHeight="1">
      <c r="A719" s="4">
        <v>717</v>
      </c>
      <c r="B719" s="4" t="str">
        <f>"39712022060109055478225"</f>
        <v>39712022060109055478225</v>
      </c>
      <c r="C719" s="4" t="s">
        <v>21</v>
      </c>
      <c r="D719" s="4" t="str">
        <f>"陈明"</f>
        <v>陈明</v>
      </c>
      <c r="E719" s="4" t="str">
        <f t="shared" si="32"/>
        <v>女</v>
      </c>
    </row>
    <row r="720" spans="1:5" ht="30" customHeight="1">
      <c r="A720" s="4">
        <v>718</v>
      </c>
      <c r="B720" s="4" t="str">
        <f>"39712022060109064378232"</f>
        <v>39712022060109064378232</v>
      </c>
      <c r="C720" s="4" t="s">
        <v>21</v>
      </c>
      <c r="D720" s="4" t="str">
        <f>"王玉花"</f>
        <v>王玉花</v>
      </c>
      <c r="E720" s="4" t="str">
        <f t="shared" si="32"/>
        <v>女</v>
      </c>
    </row>
    <row r="721" spans="1:5" ht="30" customHeight="1">
      <c r="A721" s="4">
        <v>719</v>
      </c>
      <c r="B721" s="4" t="str">
        <f>"39712022060109212578378"</f>
        <v>39712022060109212578378</v>
      </c>
      <c r="C721" s="4" t="s">
        <v>21</v>
      </c>
      <c r="D721" s="4" t="str">
        <f>"黄灵灵"</f>
        <v>黄灵灵</v>
      </c>
      <c r="E721" s="4" t="str">
        <f t="shared" si="32"/>
        <v>女</v>
      </c>
    </row>
    <row r="722" spans="1:5" ht="30" customHeight="1">
      <c r="A722" s="4">
        <v>720</v>
      </c>
      <c r="B722" s="4" t="str">
        <f>"39712022060110185878864"</f>
        <v>39712022060110185878864</v>
      </c>
      <c r="C722" s="4" t="s">
        <v>21</v>
      </c>
      <c r="D722" s="4" t="str">
        <f>"符艳影"</f>
        <v>符艳影</v>
      </c>
      <c r="E722" s="4" t="str">
        <f t="shared" si="32"/>
        <v>女</v>
      </c>
    </row>
    <row r="723" spans="1:5" ht="30" customHeight="1">
      <c r="A723" s="4">
        <v>721</v>
      </c>
      <c r="B723" s="4" t="str">
        <f>"39712022060110224478890"</f>
        <v>39712022060110224478890</v>
      </c>
      <c r="C723" s="4" t="s">
        <v>21</v>
      </c>
      <c r="D723" s="4" t="str">
        <f>"陈丽"</f>
        <v>陈丽</v>
      </c>
      <c r="E723" s="4" t="str">
        <f t="shared" si="32"/>
        <v>女</v>
      </c>
    </row>
    <row r="724" spans="1:5" ht="30" customHeight="1">
      <c r="A724" s="4">
        <v>722</v>
      </c>
      <c r="B724" s="4" t="str">
        <f>"39712022060110244878910"</f>
        <v>39712022060110244878910</v>
      </c>
      <c r="C724" s="4" t="s">
        <v>21</v>
      </c>
      <c r="D724" s="4" t="str">
        <f>"陈冠宇"</f>
        <v>陈冠宇</v>
      </c>
      <c r="E724" s="4" t="str">
        <f>"男"</f>
        <v>男</v>
      </c>
    </row>
    <row r="725" spans="1:5" ht="30" customHeight="1">
      <c r="A725" s="4">
        <v>723</v>
      </c>
      <c r="B725" s="4" t="str">
        <f>"39712022060111044679226"</f>
        <v>39712022060111044679226</v>
      </c>
      <c r="C725" s="4" t="s">
        <v>21</v>
      </c>
      <c r="D725" s="4" t="str">
        <f>"曾露"</f>
        <v>曾露</v>
      </c>
      <c r="E725" s="4" t="str">
        <f>"女"</f>
        <v>女</v>
      </c>
    </row>
    <row r="726" spans="1:5" ht="30" customHeight="1">
      <c r="A726" s="4">
        <v>724</v>
      </c>
      <c r="B726" s="4" t="str">
        <f>"39712022060112033279616"</f>
        <v>39712022060112033279616</v>
      </c>
      <c r="C726" s="4" t="s">
        <v>21</v>
      </c>
      <c r="D726" s="4" t="str">
        <f>"丁悦娴"</f>
        <v>丁悦娴</v>
      </c>
      <c r="E726" s="4" t="str">
        <f>"女"</f>
        <v>女</v>
      </c>
    </row>
    <row r="727" spans="1:5" ht="30" customHeight="1">
      <c r="A727" s="4">
        <v>725</v>
      </c>
      <c r="B727" s="4" t="str">
        <f>"39712022060112272479739"</f>
        <v>39712022060112272479739</v>
      </c>
      <c r="C727" s="4" t="s">
        <v>21</v>
      </c>
      <c r="D727" s="4" t="str">
        <f>"英容玉"</f>
        <v>英容玉</v>
      </c>
      <c r="E727" s="4" t="str">
        <f>"女"</f>
        <v>女</v>
      </c>
    </row>
    <row r="728" spans="1:5" ht="30" customHeight="1">
      <c r="A728" s="4">
        <v>726</v>
      </c>
      <c r="B728" s="4" t="str">
        <f>"39712022060114232180259"</f>
        <v>39712022060114232180259</v>
      </c>
      <c r="C728" s="4" t="s">
        <v>21</v>
      </c>
      <c r="D728" s="4" t="str">
        <f>"陈洪娇"</f>
        <v>陈洪娇</v>
      </c>
      <c r="E728" s="4" t="str">
        <f>"女"</f>
        <v>女</v>
      </c>
    </row>
    <row r="729" spans="1:5" ht="30" customHeight="1">
      <c r="A729" s="4">
        <v>727</v>
      </c>
      <c r="B729" s="4" t="str">
        <f>"39712022060114465780361"</f>
        <v>39712022060114465780361</v>
      </c>
      <c r="C729" s="4" t="s">
        <v>21</v>
      </c>
      <c r="D729" s="4" t="str">
        <f>"周义深"</f>
        <v>周义深</v>
      </c>
      <c r="E729" s="4" t="str">
        <f>"男"</f>
        <v>男</v>
      </c>
    </row>
    <row r="730" spans="1:5" ht="30" customHeight="1">
      <c r="A730" s="4">
        <v>728</v>
      </c>
      <c r="B730" s="4" t="str">
        <f>"39712022060115091580473"</f>
        <v>39712022060115091580473</v>
      </c>
      <c r="C730" s="4" t="s">
        <v>21</v>
      </c>
      <c r="D730" s="4" t="str">
        <f>"王水"</f>
        <v>王水</v>
      </c>
      <c r="E730" s="4" t="str">
        <f aca="true" t="shared" si="33" ref="E730:E793">"女"</f>
        <v>女</v>
      </c>
    </row>
    <row r="731" spans="1:5" ht="30" customHeight="1">
      <c r="A731" s="4">
        <v>729</v>
      </c>
      <c r="B731" s="4" t="str">
        <f>"39712022060119063481732"</f>
        <v>39712022060119063481732</v>
      </c>
      <c r="C731" s="4" t="s">
        <v>21</v>
      </c>
      <c r="D731" s="4" t="str">
        <f>"江青娥"</f>
        <v>江青娥</v>
      </c>
      <c r="E731" s="4" t="str">
        <f t="shared" si="33"/>
        <v>女</v>
      </c>
    </row>
    <row r="732" spans="1:5" ht="30" customHeight="1">
      <c r="A732" s="4">
        <v>730</v>
      </c>
      <c r="B732" s="4" t="str">
        <f>"39712022060202344283137"</f>
        <v>39712022060202344283137</v>
      </c>
      <c r="C732" s="4" t="s">
        <v>21</v>
      </c>
      <c r="D732" s="4" t="str">
        <f>"陈靓"</f>
        <v>陈靓</v>
      </c>
      <c r="E732" s="4" t="str">
        <f t="shared" si="33"/>
        <v>女</v>
      </c>
    </row>
    <row r="733" spans="1:5" ht="30" customHeight="1">
      <c r="A733" s="4">
        <v>731</v>
      </c>
      <c r="B733" s="4" t="str">
        <f>"39712022060203223783140"</f>
        <v>39712022060203223783140</v>
      </c>
      <c r="C733" s="4" t="s">
        <v>21</v>
      </c>
      <c r="D733" s="4" t="str">
        <f>"林泳岚"</f>
        <v>林泳岚</v>
      </c>
      <c r="E733" s="4" t="str">
        <f t="shared" si="33"/>
        <v>女</v>
      </c>
    </row>
    <row r="734" spans="1:5" ht="30" customHeight="1">
      <c r="A734" s="4">
        <v>732</v>
      </c>
      <c r="B734" s="4" t="str">
        <f>"39712022060210422184266"</f>
        <v>39712022060210422184266</v>
      </c>
      <c r="C734" s="4" t="s">
        <v>21</v>
      </c>
      <c r="D734" s="4" t="str">
        <f>"许丽欢"</f>
        <v>许丽欢</v>
      </c>
      <c r="E734" s="4" t="str">
        <f t="shared" si="33"/>
        <v>女</v>
      </c>
    </row>
    <row r="735" spans="1:5" ht="30" customHeight="1">
      <c r="A735" s="4">
        <v>733</v>
      </c>
      <c r="B735" s="4" t="str">
        <f>"39712022060212332584957"</f>
        <v>39712022060212332584957</v>
      </c>
      <c r="C735" s="4" t="s">
        <v>21</v>
      </c>
      <c r="D735" s="4" t="str">
        <f>"李思雨"</f>
        <v>李思雨</v>
      </c>
      <c r="E735" s="4" t="str">
        <f t="shared" si="33"/>
        <v>女</v>
      </c>
    </row>
    <row r="736" spans="1:5" ht="30" customHeight="1">
      <c r="A736" s="4">
        <v>734</v>
      </c>
      <c r="B736" s="4" t="str">
        <f>"39712022060213270785242"</f>
        <v>39712022060213270785242</v>
      </c>
      <c r="C736" s="4" t="s">
        <v>21</v>
      </c>
      <c r="D736" s="4" t="str">
        <f>"谢永丽"</f>
        <v>谢永丽</v>
      </c>
      <c r="E736" s="4" t="str">
        <f t="shared" si="33"/>
        <v>女</v>
      </c>
    </row>
    <row r="737" spans="1:5" ht="30" customHeight="1">
      <c r="A737" s="4">
        <v>735</v>
      </c>
      <c r="B737" s="4" t="str">
        <f>"39712022060215173385760"</f>
        <v>39712022060215173385760</v>
      </c>
      <c r="C737" s="4" t="s">
        <v>21</v>
      </c>
      <c r="D737" s="4" t="str">
        <f>"李国英"</f>
        <v>李国英</v>
      </c>
      <c r="E737" s="4" t="str">
        <f t="shared" si="33"/>
        <v>女</v>
      </c>
    </row>
    <row r="738" spans="1:5" ht="30" customHeight="1">
      <c r="A738" s="4">
        <v>736</v>
      </c>
      <c r="B738" s="4" t="str">
        <f>"39712022060218164486635"</f>
        <v>39712022060218164486635</v>
      </c>
      <c r="C738" s="4" t="s">
        <v>21</v>
      </c>
      <c r="D738" s="4" t="str">
        <f>"吴丽贞"</f>
        <v>吴丽贞</v>
      </c>
      <c r="E738" s="4" t="str">
        <f t="shared" si="33"/>
        <v>女</v>
      </c>
    </row>
    <row r="739" spans="1:5" ht="30" customHeight="1">
      <c r="A739" s="4">
        <v>737</v>
      </c>
      <c r="B739" s="4" t="str">
        <f>"39712022060311591787884"</f>
        <v>39712022060311591787884</v>
      </c>
      <c r="C739" s="4" t="s">
        <v>21</v>
      </c>
      <c r="D739" s="4" t="str">
        <f>"王健夷"</f>
        <v>王健夷</v>
      </c>
      <c r="E739" s="4" t="str">
        <f t="shared" si="33"/>
        <v>女</v>
      </c>
    </row>
    <row r="740" spans="1:5" ht="30" customHeight="1">
      <c r="A740" s="4">
        <v>738</v>
      </c>
      <c r="B740" s="4" t="str">
        <f>"39712022060314544588040"</f>
        <v>39712022060314544588040</v>
      </c>
      <c r="C740" s="4" t="s">
        <v>21</v>
      </c>
      <c r="D740" s="4" t="str">
        <f>"林娟"</f>
        <v>林娟</v>
      </c>
      <c r="E740" s="4" t="str">
        <f t="shared" si="33"/>
        <v>女</v>
      </c>
    </row>
    <row r="741" spans="1:5" ht="30" customHeight="1">
      <c r="A741" s="4">
        <v>739</v>
      </c>
      <c r="B741" s="4" t="str">
        <f>"39712022060316033288107"</f>
        <v>39712022060316033288107</v>
      </c>
      <c r="C741" s="4" t="s">
        <v>21</v>
      </c>
      <c r="D741" s="4" t="str">
        <f>"邱文玲"</f>
        <v>邱文玲</v>
      </c>
      <c r="E741" s="4" t="str">
        <f t="shared" si="33"/>
        <v>女</v>
      </c>
    </row>
    <row r="742" spans="1:5" ht="30" customHeight="1">
      <c r="A742" s="4">
        <v>740</v>
      </c>
      <c r="B742" s="4" t="str">
        <f>"39712022060318042188222"</f>
        <v>39712022060318042188222</v>
      </c>
      <c r="C742" s="4" t="s">
        <v>21</v>
      </c>
      <c r="D742" s="4" t="str">
        <f>"莫海婷"</f>
        <v>莫海婷</v>
      </c>
      <c r="E742" s="4" t="str">
        <f t="shared" si="33"/>
        <v>女</v>
      </c>
    </row>
    <row r="743" spans="1:5" ht="30" customHeight="1">
      <c r="A743" s="4">
        <v>741</v>
      </c>
      <c r="B743" s="4" t="str">
        <f>"39712022060318595988265"</f>
        <v>39712022060318595988265</v>
      </c>
      <c r="C743" s="4" t="s">
        <v>21</v>
      </c>
      <c r="D743" s="4" t="str">
        <f>"殷娇娜"</f>
        <v>殷娇娜</v>
      </c>
      <c r="E743" s="4" t="str">
        <f t="shared" si="33"/>
        <v>女</v>
      </c>
    </row>
    <row r="744" spans="1:5" ht="30" customHeight="1">
      <c r="A744" s="4">
        <v>742</v>
      </c>
      <c r="B744" s="4" t="str">
        <f>"39712022060414141388948"</f>
        <v>39712022060414141388948</v>
      </c>
      <c r="C744" s="4" t="s">
        <v>21</v>
      </c>
      <c r="D744" s="4" t="str">
        <f>"陈妙雅"</f>
        <v>陈妙雅</v>
      </c>
      <c r="E744" s="4" t="str">
        <f t="shared" si="33"/>
        <v>女</v>
      </c>
    </row>
    <row r="745" spans="1:5" ht="30" customHeight="1">
      <c r="A745" s="4">
        <v>743</v>
      </c>
      <c r="B745" s="4" t="str">
        <f>"39712022060509225989658"</f>
        <v>39712022060509225989658</v>
      </c>
      <c r="C745" s="4" t="s">
        <v>21</v>
      </c>
      <c r="D745" s="4" t="str">
        <f>"李海川"</f>
        <v>李海川</v>
      </c>
      <c r="E745" s="4" t="str">
        <f t="shared" si="33"/>
        <v>女</v>
      </c>
    </row>
    <row r="746" spans="1:5" ht="30" customHeight="1">
      <c r="A746" s="4">
        <v>744</v>
      </c>
      <c r="B746" s="4" t="str">
        <f>"39712022060518153690440"</f>
        <v>39712022060518153690440</v>
      </c>
      <c r="C746" s="4" t="s">
        <v>21</v>
      </c>
      <c r="D746" s="4" t="str">
        <f>"邓颖"</f>
        <v>邓颖</v>
      </c>
      <c r="E746" s="4" t="str">
        <f t="shared" si="33"/>
        <v>女</v>
      </c>
    </row>
    <row r="747" spans="1:5" ht="30" customHeight="1">
      <c r="A747" s="4">
        <v>745</v>
      </c>
      <c r="B747" s="4" t="str">
        <f>"39712022060614272797083"</f>
        <v>39712022060614272797083</v>
      </c>
      <c r="C747" s="4" t="s">
        <v>21</v>
      </c>
      <c r="D747" s="4" t="str">
        <f>"彭莹莹"</f>
        <v>彭莹莹</v>
      </c>
      <c r="E747" s="4" t="str">
        <f t="shared" si="33"/>
        <v>女</v>
      </c>
    </row>
    <row r="748" spans="1:5" ht="30" customHeight="1">
      <c r="A748" s="4">
        <v>746</v>
      </c>
      <c r="B748" s="4" t="str">
        <f>"39712022060615595798323"</f>
        <v>39712022060615595798323</v>
      </c>
      <c r="C748" s="4" t="s">
        <v>21</v>
      </c>
      <c r="D748" s="4" t="str">
        <f>"覃金兰"</f>
        <v>覃金兰</v>
      </c>
      <c r="E748" s="4" t="str">
        <f t="shared" si="33"/>
        <v>女</v>
      </c>
    </row>
    <row r="749" spans="1:5" ht="30" customHeight="1">
      <c r="A749" s="4">
        <v>747</v>
      </c>
      <c r="B749" s="4" t="str">
        <f>"39712022060616132298504"</f>
        <v>39712022060616132298504</v>
      </c>
      <c r="C749" s="4" t="s">
        <v>21</v>
      </c>
      <c r="D749" s="4" t="str">
        <f>"陈雷亭"</f>
        <v>陈雷亭</v>
      </c>
      <c r="E749" s="4" t="str">
        <f t="shared" si="33"/>
        <v>女</v>
      </c>
    </row>
    <row r="750" spans="1:5" ht="30" customHeight="1">
      <c r="A750" s="4">
        <v>748</v>
      </c>
      <c r="B750" s="4" t="str">
        <f>"39712022060616572999060"</f>
        <v>39712022060616572999060</v>
      </c>
      <c r="C750" s="4" t="s">
        <v>21</v>
      </c>
      <c r="D750" s="4" t="str">
        <f>"王翠莹"</f>
        <v>王翠莹</v>
      </c>
      <c r="E750" s="4" t="str">
        <f t="shared" si="33"/>
        <v>女</v>
      </c>
    </row>
    <row r="751" spans="1:5" ht="30" customHeight="1">
      <c r="A751" s="4">
        <v>749</v>
      </c>
      <c r="B751" s="4" t="str">
        <f>"39712022060617215399323"</f>
        <v>39712022060617215399323</v>
      </c>
      <c r="C751" s="4" t="s">
        <v>21</v>
      </c>
      <c r="D751" s="4" t="str">
        <f>"汪瑶"</f>
        <v>汪瑶</v>
      </c>
      <c r="E751" s="4" t="str">
        <f t="shared" si="33"/>
        <v>女</v>
      </c>
    </row>
    <row r="752" spans="1:5" ht="30" customHeight="1">
      <c r="A752" s="4">
        <v>750</v>
      </c>
      <c r="B752" s="4" t="str">
        <f>"397120220606194658100535"</f>
        <v>397120220606194658100535</v>
      </c>
      <c r="C752" s="4" t="s">
        <v>21</v>
      </c>
      <c r="D752" s="4" t="str">
        <f>"吴紫莹"</f>
        <v>吴紫莹</v>
      </c>
      <c r="E752" s="4" t="str">
        <f t="shared" si="33"/>
        <v>女</v>
      </c>
    </row>
    <row r="753" spans="1:5" ht="30" customHeight="1">
      <c r="A753" s="4">
        <v>751</v>
      </c>
      <c r="B753" s="4" t="str">
        <f>"397120220606224114102028"</f>
        <v>397120220606224114102028</v>
      </c>
      <c r="C753" s="4" t="s">
        <v>21</v>
      </c>
      <c r="D753" s="4" t="str">
        <f>"蒙玥彤"</f>
        <v>蒙玥彤</v>
      </c>
      <c r="E753" s="4" t="str">
        <f t="shared" si="33"/>
        <v>女</v>
      </c>
    </row>
    <row r="754" spans="1:5" ht="30" customHeight="1">
      <c r="A754" s="4">
        <v>752</v>
      </c>
      <c r="B754" s="4" t="str">
        <f>"397120220607192300108961"</f>
        <v>397120220607192300108961</v>
      </c>
      <c r="C754" s="4" t="s">
        <v>21</v>
      </c>
      <c r="D754" s="4" t="str">
        <f>"许欣"</f>
        <v>许欣</v>
      </c>
      <c r="E754" s="4" t="str">
        <f t="shared" si="33"/>
        <v>女</v>
      </c>
    </row>
    <row r="755" spans="1:5" ht="30" customHeight="1">
      <c r="A755" s="4">
        <v>753</v>
      </c>
      <c r="B755" s="4" t="str">
        <f>"397120220607192920109013"</f>
        <v>397120220607192920109013</v>
      </c>
      <c r="C755" s="4" t="s">
        <v>21</v>
      </c>
      <c r="D755" s="4" t="str">
        <f>"曾春梅"</f>
        <v>曾春梅</v>
      </c>
      <c r="E755" s="4" t="str">
        <f t="shared" si="33"/>
        <v>女</v>
      </c>
    </row>
    <row r="756" spans="1:5" ht="30" customHeight="1">
      <c r="A756" s="4">
        <v>754</v>
      </c>
      <c r="B756" s="4" t="str">
        <f>"397120220608104020112039"</f>
        <v>397120220608104020112039</v>
      </c>
      <c r="C756" s="4" t="s">
        <v>21</v>
      </c>
      <c r="D756" s="4" t="str">
        <f>"王卜玉"</f>
        <v>王卜玉</v>
      </c>
      <c r="E756" s="4" t="str">
        <f t="shared" si="33"/>
        <v>女</v>
      </c>
    </row>
    <row r="757" spans="1:5" ht="30" customHeight="1">
      <c r="A757" s="4">
        <v>755</v>
      </c>
      <c r="B757" s="4" t="str">
        <f>"397120220608113219112478"</f>
        <v>397120220608113219112478</v>
      </c>
      <c r="C757" s="4" t="s">
        <v>21</v>
      </c>
      <c r="D757" s="4" t="str">
        <f>"王莹"</f>
        <v>王莹</v>
      </c>
      <c r="E757" s="4" t="str">
        <f t="shared" si="33"/>
        <v>女</v>
      </c>
    </row>
    <row r="758" spans="1:5" ht="30" customHeight="1">
      <c r="A758" s="4">
        <v>756</v>
      </c>
      <c r="B758" s="4" t="str">
        <f>"39712022060109095378266"</f>
        <v>39712022060109095378266</v>
      </c>
      <c r="C758" s="4" t="s">
        <v>22</v>
      </c>
      <c r="D758" s="4" t="str">
        <f>"黎小雯"</f>
        <v>黎小雯</v>
      </c>
      <c r="E758" s="4" t="str">
        <f t="shared" si="33"/>
        <v>女</v>
      </c>
    </row>
    <row r="759" spans="1:5" ht="30" customHeight="1">
      <c r="A759" s="4">
        <v>757</v>
      </c>
      <c r="B759" s="4" t="str">
        <f>"39712022060109124978291"</f>
        <v>39712022060109124978291</v>
      </c>
      <c r="C759" s="4" t="s">
        <v>22</v>
      </c>
      <c r="D759" s="4" t="str">
        <f>"陈璐"</f>
        <v>陈璐</v>
      </c>
      <c r="E759" s="4" t="str">
        <f t="shared" si="33"/>
        <v>女</v>
      </c>
    </row>
    <row r="760" spans="1:5" ht="30" customHeight="1">
      <c r="A760" s="4">
        <v>758</v>
      </c>
      <c r="B760" s="4" t="str">
        <f>"39712022060109523278646"</f>
        <v>39712022060109523278646</v>
      </c>
      <c r="C760" s="4" t="s">
        <v>22</v>
      </c>
      <c r="D760" s="4" t="str">
        <f>"黄婷婷"</f>
        <v>黄婷婷</v>
      </c>
      <c r="E760" s="4" t="str">
        <f t="shared" si="33"/>
        <v>女</v>
      </c>
    </row>
    <row r="761" spans="1:5" ht="30" customHeight="1">
      <c r="A761" s="4">
        <v>759</v>
      </c>
      <c r="B761" s="4" t="str">
        <f>"39712022060110083578778"</f>
        <v>39712022060110083578778</v>
      </c>
      <c r="C761" s="4" t="s">
        <v>22</v>
      </c>
      <c r="D761" s="4" t="str">
        <f>"王小山"</f>
        <v>王小山</v>
      </c>
      <c r="E761" s="4" t="str">
        <f t="shared" si="33"/>
        <v>女</v>
      </c>
    </row>
    <row r="762" spans="1:5" ht="30" customHeight="1">
      <c r="A762" s="4">
        <v>760</v>
      </c>
      <c r="B762" s="4" t="str">
        <f>"39712022060110143478826"</f>
        <v>39712022060110143478826</v>
      </c>
      <c r="C762" s="4" t="s">
        <v>22</v>
      </c>
      <c r="D762" s="4" t="str">
        <f>"符会媛"</f>
        <v>符会媛</v>
      </c>
      <c r="E762" s="4" t="str">
        <f t="shared" si="33"/>
        <v>女</v>
      </c>
    </row>
    <row r="763" spans="1:5" ht="30" customHeight="1">
      <c r="A763" s="4">
        <v>761</v>
      </c>
      <c r="B763" s="4" t="str">
        <f>"39712022060110314478964"</f>
        <v>39712022060110314478964</v>
      </c>
      <c r="C763" s="4" t="s">
        <v>22</v>
      </c>
      <c r="D763" s="4" t="str">
        <f>"陈贞贞"</f>
        <v>陈贞贞</v>
      </c>
      <c r="E763" s="4" t="str">
        <f t="shared" si="33"/>
        <v>女</v>
      </c>
    </row>
    <row r="764" spans="1:5" ht="30" customHeight="1">
      <c r="A764" s="4">
        <v>762</v>
      </c>
      <c r="B764" s="4" t="str">
        <f>"39712022060110365979011"</f>
        <v>39712022060110365979011</v>
      </c>
      <c r="C764" s="4" t="s">
        <v>22</v>
      </c>
      <c r="D764" s="4" t="str">
        <f>"吴兰"</f>
        <v>吴兰</v>
      </c>
      <c r="E764" s="4" t="str">
        <f t="shared" si="33"/>
        <v>女</v>
      </c>
    </row>
    <row r="765" spans="1:5" ht="30" customHeight="1">
      <c r="A765" s="4">
        <v>763</v>
      </c>
      <c r="B765" s="4" t="str">
        <f>"39712022060110424579054"</f>
        <v>39712022060110424579054</v>
      </c>
      <c r="C765" s="4" t="s">
        <v>22</v>
      </c>
      <c r="D765" s="4" t="str">
        <f>"王莉"</f>
        <v>王莉</v>
      </c>
      <c r="E765" s="4" t="str">
        <f t="shared" si="33"/>
        <v>女</v>
      </c>
    </row>
    <row r="766" spans="1:5" ht="30" customHeight="1">
      <c r="A766" s="4">
        <v>764</v>
      </c>
      <c r="B766" s="4" t="str">
        <f>"39712022060110460879080"</f>
        <v>39712022060110460879080</v>
      </c>
      <c r="C766" s="4" t="s">
        <v>22</v>
      </c>
      <c r="D766" s="4" t="str">
        <f>"王春萍"</f>
        <v>王春萍</v>
      </c>
      <c r="E766" s="4" t="str">
        <f t="shared" si="33"/>
        <v>女</v>
      </c>
    </row>
    <row r="767" spans="1:5" ht="30" customHeight="1">
      <c r="A767" s="4">
        <v>765</v>
      </c>
      <c r="B767" s="4" t="str">
        <f>"39712022060110525679131"</f>
        <v>39712022060110525679131</v>
      </c>
      <c r="C767" s="4" t="s">
        <v>22</v>
      </c>
      <c r="D767" s="4" t="str">
        <f>"黄晓雯"</f>
        <v>黄晓雯</v>
      </c>
      <c r="E767" s="4" t="str">
        <f t="shared" si="33"/>
        <v>女</v>
      </c>
    </row>
    <row r="768" spans="1:5" ht="30" customHeight="1">
      <c r="A768" s="4">
        <v>766</v>
      </c>
      <c r="B768" s="4" t="str">
        <f>"39712022060110591179185"</f>
        <v>39712022060110591179185</v>
      </c>
      <c r="C768" s="4" t="s">
        <v>22</v>
      </c>
      <c r="D768" s="4" t="str">
        <f>"毛斐"</f>
        <v>毛斐</v>
      </c>
      <c r="E768" s="4" t="str">
        <f t="shared" si="33"/>
        <v>女</v>
      </c>
    </row>
    <row r="769" spans="1:5" ht="30" customHeight="1">
      <c r="A769" s="4">
        <v>767</v>
      </c>
      <c r="B769" s="4" t="str">
        <f>"39712022060111234979379"</f>
        <v>39712022060111234979379</v>
      </c>
      <c r="C769" s="4" t="s">
        <v>22</v>
      </c>
      <c r="D769" s="4" t="str">
        <f>"罗瑶"</f>
        <v>罗瑶</v>
      </c>
      <c r="E769" s="4" t="str">
        <f t="shared" si="33"/>
        <v>女</v>
      </c>
    </row>
    <row r="770" spans="1:5" ht="30" customHeight="1">
      <c r="A770" s="4">
        <v>768</v>
      </c>
      <c r="B770" s="4" t="str">
        <f>"39712022060112303579763"</f>
        <v>39712022060112303579763</v>
      </c>
      <c r="C770" s="4" t="s">
        <v>22</v>
      </c>
      <c r="D770" s="4" t="str">
        <f>"刘慈玲"</f>
        <v>刘慈玲</v>
      </c>
      <c r="E770" s="4" t="str">
        <f t="shared" si="33"/>
        <v>女</v>
      </c>
    </row>
    <row r="771" spans="1:5" ht="30" customHeight="1">
      <c r="A771" s="4">
        <v>769</v>
      </c>
      <c r="B771" s="4" t="str">
        <f>"39712022060112394979814"</f>
        <v>39712022060112394979814</v>
      </c>
      <c r="C771" s="4" t="s">
        <v>22</v>
      </c>
      <c r="D771" s="4" t="str">
        <f>"梁馨允"</f>
        <v>梁馨允</v>
      </c>
      <c r="E771" s="4" t="str">
        <f t="shared" si="33"/>
        <v>女</v>
      </c>
    </row>
    <row r="772" spans="1:5" ht="30" customHeight="1">
      <c r="A772" s="4">
        <v>770</v>
      </c>
      <c r="B772" s="4" t="str">
        <f>"39712022060115380680660"</f>
        <v>39712022060115380680660</v>
      </c>
      <c r="C772" s="4" t="s">
        <v>22</v>
      </c>
      <c r="D772" s="4" t="str">
        <f>"邓小金"</f>
        <v>邓小金</v>
      </c>
      <c r="E772" s="4" t="str">
        <f t="shared" si="33"/>
        <v>女</v>
      </c>
    </row>
    <row r="773" spans="1:5" ht="30" customHeight="1">
      <c r="A773" s="4">
        <v>771</v>
      </c>
      <c r="B773" s="4" t="str">
        <f>"39712022060115443180702"</f>
        <v>39712022060115443180702</v>
      </c>
      <c r="C773" s="4" t="s">
        <v>22</v>
      </c>
      <c r="D773" s="4" t="str">
        <f>"林可可"</f>
        <v>林可可</v>
      </c>
      <c r="E773" s="4" t="str">
        <f t="shared" si="33"/>
        <v>女</v>
      </c>
    </row>
    <row r="774" spans="1:5" ht="30" customHeight="1">
      <c r="A774" s="4">
        <v>772</v>
      </c>
      <c r="B774" s="4" t="str">
        <f>"39712022060116270180955"</f>
        <v>39712022060116270180955</v>
      </c>
      <c r="C774" s="4" t="s">
        <v>22</v>
      </c>
      <c r="D774" s="4" t="str">
        <f>"甘金婷"</f>
        <v>甘金婷</v>
      </c>
      <c r="E774" s="4" t="str">
        <f t="shared" si="33"/>
        <v>女</v>
      </c>
    </row>
    <row r="775" spans="1:5" ht="30" customHeight="1">
      <c r="A775" s="4">
        <v>773</v>
      </c>
      <c r="B775" s="4" t="str">
        <f>"39712022060116293680968"</f>
        <v>39712022060116293680968</v>
      </c>
      <c r="C775" s="4" t="s">
        <v>22</v>
      </c>
      <c r="D775" s="4" t="str">
        <f>"符巍"</f>
        <v>符巍</v>
      </c>
      <c r="E775" s="4" t="str">
        <f t="shared" si="33"/>
        <v>女</v>
      </c>
    </row>
    <row r="776" spans="1:5" ht="30" customHeight="1">
      <c r="A776" s="4">
        <v>774</v>
      </c>
      <c r="B776" s="4" t="str">
        <f>"39712022060118060781480"</f>
        <v>39712022060118060781480</v>
      </c>
      <c r="C776" s="4" t="s">
        <v>22</v>
      </c>
      <c r="D776" s="4" t="str">
        <f>"洪小月"</f>
        <v>洪小月</v>
      </c>
      <c r="E776" s="4" t="str">
        <f t="shared" si="33"/>
        <v>女</v>
      </c>
    </row>
    <row r="777" spans="1:5" ht="30" customHeight="1">
      <c r="A777" s="4">
        <v>775</v>
      </c>
      <c r="B777" s="4" t="str">
        <f>"39712022060119363681853"</f>
        <v>39712022060119363681853</v>
      </c>
      <c r="C777" s="4" t="s">
        <v>22</v>
      </c>
      <c r="D777" s="4" t="str">
        <f>"林小裕"</f>
        <v>林小裕</v>
      </c>
      <c r="E777" s="4" t="str">
        <f t="shared" si="33"/>
        <v>女</v>
      </c>
    </row>
    <row r="778" spans="1:5" ht="30" customHeight="1">
      <c r="A778" s="4">
        <v>776</v>
      </c>
      <c r="B778" s="4" t="str">
        <f>"39712022060122164882652"</f>
        <v>39712022060122164882652</v>
      </c>
      <c r="C778" s="4" t="s">
        <v>22</v>
      </c>
      <c r="D778" s="4" t="str">
        <f>"谢川秋"</f>
        <v>谢川秋</v>
      </c>
      <c r="E778" s="4" t="str">
        <f t="shared" si="33"/>
        <v>女</v>
      </c>
    </row>
    <row r="779" spans="1:5" ht="30" customHeight="1">
      <c r="A779" s="4">
        <v>777</v>
      </c>
      <c r="B779" s="4" t="str">
        <f>"39712022060122431482783"</f>
        <v>39712022060122431482783</v>
      </c>
      <c r="C779" s="4" t="s">
        <v>22</v>
      </c>
      <c r="D779" s="4" t="str">
        <f>"吴多芳"</f>
        <v>吴多芳</v>
      </c>
      <c r="E779" s="4" t="str">
        <f t="shared" si="33"/>
        <v>女</v>
      </c>
    </row>
    <row r="780" spans="1:5" ht="30" customHeight="1">
      <c r="A780" s="4">
        <v>778</v>
      </c>
      <c r="B780" s="4" t="str">
        <f>"39712022060123380082986"</f>
        <v>39712022060123380082986</v>
      </c>
      <c r="C780" s="4" t="s">
        <v>22</v>
      </c>
      <c r="D780" s="4" t="str">
        <f>"李小丽"</f>
        <v>李小丽</v>
      </c>
      <c r="E780" s="4" t="str">
        <f t="shared" si="33"/>
        <v>女</v>
      </c>
    </row>
    <row r="781" spans="1:5" ht="30" customHeight="1">
      <c r="A781" s="4">
        <v>779</v>
      </c>
      <c r="B781" s="4" t="str">
        <f>"39712022060208305483327"</f>
        <v>39712022060208305483327</v>
      </c>
      <c r="C781" s="4" t="s">
        <v>22</v>
      </c>
      <c r="D781" s="4" t="str">
        <f>"杨梅燕"</f>
        <v>杨梅燕</v>
      </c>
      <c r="E781" s="4" t="str">
        <f t="shared" si="33"/>
        <v>女</v>
      </c>
    </row>
    <row r="782" spans="1:5" ht="30" customHeight="1">
      <c r="A782" s="4">
        <v>780</v>
      </c>
      <c r="B782" s="4" t="str">
        <f>"39712022060209270383703"</f>
        <v>39712022060209270383703</v>
      </c>
      <c r="C782" s="4" t="s">
        <v>22</v>
      </c>
      <c r="D782" s="4" t="str">
        <f>"杨少花"</f>
        <v>杨少花</v>
      </c>
      <c r="E782" s="4" t="str">
        <f t="shared" si="33"/>
        <v>女</v>
      </c>
    </row>
    <row r="783" spans="1:5" ht="30" customHeight="1">
      <c r="A783" s="4">
        <v>781</v>
      </c>
      <c r="B783" s="4" t="str">
        <f>"39712022060210033683970"</f>
        <v>39712022060210033683970</v>
      </c>
      <c r="C783" s="4" t="s">
        <v>22</v>
      </c>
      <c r="D783" s="4" t="str">
        <f>"李琳琳"</f>
        <v>李琳琳</v>
      </c>
      <c r="E783" s="4" t="str">
        <f t="shared" si="33"/>
        <v>女</v>
      </c>
    </row>
    <row r="784" spans="1:5" ht="30" customHeight="1">
      <c r="A784" s="4">
        <v>782</v>
      </c>
      <c r="B784" s="4" t="str">
        <f>"39712022060210064183993"</f>
        <v>39712022060210064183993</v>
      </c>
      <c r="C784" s="4" t="s">
        <v>22</v>
      </c>
      <c r="D784" s="4" t="str">
        <f>"符玉君"</f>
        <v>符玉君</v>
      </c>
      <c r="E784" s="4" t="str">
        <f t="shared" si="33"/>
        <v>女</v>
      </c>
    </row>
    <row r="785" spans="1:5" ht="30" customHeight="1">
      <c r="A785" s="4">
        <v>783</v>
      </c>
      <c r="B785" s="4" t="str">
        <f>"39712022060210484984313"</f>
        <v>39712022060210484984313</v>
      </c>
      <c r="C785" s="4" t="s">
        <v>22</v>
      </c>
      <c r="D785" s="4" t="str">
        <f>"毛泽秋"</f>
        <v>毛泽秋</v>
      </c>
      <c r="E785" s="4" t="str">
        <f t="shared" si="33"/>
        <v>女</v>
      </c>
    </row>
    <row r="786" spans="1:5" ht="30" customHeight="1">
      <c r="A786" s="4">
        <v>784</v>
      </c>
      <c r="B786" s="4" t="str">
        <f>"39712022060211573784750"</f>
        <v>39712022060211573784750</v>
      </c>
      <c r="C786" s="4" t="s">
        <v>22</v>
      </c>
      <c r="D786" s="4" t="str">
        <f>"黄丹和"</f>
        <v>黄丹和</v>
      </c>
      <c r="E786" s="4" t="str">
        <f t="shared" si="33"/>
        <v>女</v>
      </c>
    </row>
    <row r="787" spans="1:5" ht="30" customHeight="1">
      <c r="A787" s="4">
        <v>785</v>
      </c>
      <c r="B787" s="4" t="str">
        <f>"39712022060212594885112"</f>
        <v>39712022060212594885112</v>
      </c>
      <c r="C787" s="4" t="s">
        <v>22</v>
      </c>
      <c r="D787" s="4" t="str">
        <f>"周日来"</f>
        <v>周日来</v>
      </c>
      <c r="E787" s="4" t="str">
        <f t="shared" si="33"/>
        <v>女</v>
      </c>
    </row>
    <row r="788" spans="1:5" ht="30" customHeight="1">
      <c r="A788" s="4">
        <v>786</v>
      </c>
      <c r="B788" s="4" t="str">
        <f>"39712022060213221885219"</f>
        <v>39712022060213221885219</v>
      </c>
      <c r="C788" s="4" t="s">
        <v>22</v>
      </c>
      <c r="D788" s="4" t="str">
        <f>"冯嫣"</f>
        <v>冯嫣</v>
      </c>
      <c r="E788" s="4" t="str">
        <f t="shared" si="33"/>
        <v>女</v>
      </c>
    </row>
    <row r="789" spans="1:5" ht="30" customHeight="1">
      <c r="A789" s="4">
        <v>787</v>
      </c>
      <c r="B789" s="4" t="str">
        <f>"39712022060215314485841"</f>
        <v>39712022060215314485841</v>
      </c>
      <c r="C789" s="4" t="s">
        <v>22</v>
      </c>
      <c r="D789" s="4" t="str">
        <f>"陈荟妃"</f>
        <v>陈荟妃</v>
      </c>
      <c r="E789" s="4" t="str">
        <f t="shared" si="33"/>
        <v>女</v>
      </c>
    </row>
    <row r="790" spans="1:5" ht="30" customHeight="1">
      <c r="A790" s="4">
        <v>788</v>
      </c>
      <c r="B790" s="4" t="str">
        <f>"39712022060216064286042"</f>
        <v>39712022060216064286042</v>
      </c>
      <c r="C790" s="4" t="s">
        <v>22</v>
      </c>
      <c r="D790" s="4" t="str">
        <f>"吴海"</f>
        <v>吴海</v>
      </c>
      <c r="E790" s="4" t="str">
        <f t="shared" si="33"/>
        <v>女</v>
      </c>
    </row>
    <row r="791" spans="1:5" ht="30" customHeight="1">
      <c r="A791" s="4">
        <v>789</v>
      </c>
      <c r="B791" s="4" t="str">
        <f>"39712022060216275186170"</f>
        <v>39712022060216275186170</v>
      </c>
      <c r="C791" s="4" t="s">
        <v>22</v>
      </c>
      <c r="D791" s="4" t="str">
        <f>"吴秋"</f>
        <v>吴秋</v>
      </c>
      <c r="E791" s="4" t="str">
        <f t="shared" si="33"/>
        <v>女</v>
      </c>
    </row>
    <row r="792" spans="1:5" ht="30" customHeight="1">
      <c r="A792" s="4">
        <v>790</v>
      </c>
      <c r="B792" s="4" t="str">
        <f>"39712022060216565686297"</f>
        <v>39712022060216565686297</v>
      </c>
      <c r="C792" s="4" t="s">
        <v>22</v>
      </c>
      <c r="D792" s="4" t="str">
        <f>"陈莉香"</f>
        <v>陈莉香</v>
      </c>
      <c r="E792" s="4" t="str">
        <f t="shared" si="33"/>
        <v>女</v>
      </c>
    </row>
    <row r="793" spans="1:5" ht="30" customHeight="1">
      <c r="A793" s="4">
        <v>791</v>
      </c>
      <c r="B793" s="4" t="str">
        <f>"39712022060217021586322"</f>
        <v>39712022060217021586322</v>
      </c>
      <c r="C793" s="4" t="s">
        <v>22</v>
      </c>
      <c r="D793" s="4" t="str">
        <f>"陈碧莹"</f>
        <v>陈碧莹</v>
      </c>
      <c r="E793" s="4" t="str">
        <f t="shared" si="33"/>
        <v>女</v>
      </c>
    </row>
    <row r="794" spans="1:5" ht="30" customHeight="1">
      <c r="A794" s="4">
        <v>792</v>
      </c>
      <c r="B794" s="4" t="str">
        <f>"39712022060217165086391"</f>
        <v>39712022060217165086391</v>
      </c>
      <c r="C794" s="4" t="s">
        <v>22</v>
      </c>
      <c r="D794" s="4" t="str">
        <f>"宋燕京"</f>
        <v>宋燕京</v>
      </c>
      <c r="E794" s="4" t="str">
        <f aca="true" t="shared" si="34" ref="E794:E814">"女"</f>
        <v>女</v>
      </c>
    </row>
    <row r="795" spans="1:5" ht="30" customHeight="1">
      <c r="A795" s="4">
        <v>793</v>
      </c>
      <c r="B795" s="4" t="str">
        <f>"39712022060217332386464"</f>
        <v>39712022060217332386464</v>
      </c>
      <c r="C795" s="4" t="s">
        <v>22</v>
      </c>
      <c r="D795" s="4" t="str">
        <f>"谭小梅"</f>
        <v>谭小梅</v>
      </c>
      <c r="E795" s="4" t="str">
        <f t="shared" si="34"/>
        <v>女</v>
      </c>
    </row>
    <row r="796" spans="1:5" ht="30" customHeight="1">
      <c r="A796" s="4">
        <v>794</v>
      </c>
      <c r="B796" s="4" t="str">
        <f>"39712022060218001886579"</f>
        <v>39712022060218001886579</v>
      </c>
      <c r="C796" s="4" t="s">
        <v>22</v>
      </c>
      <c r="D796" s="4" t="str">
        <f>"林仙"</f>
        <v>林仙</v>
      </c>
      <c r="E796" s="4" t="str">
        <f t="shared" si="34"/>
        <v>女</v>
      </c>
    </row>
    <row r="797" spans="1:5" ht="30" customHeight="1">
      <c r="A797" s="4">
        <v>795</v>
      </c>
      <c r="B797" s="4" t="str">
        <f>"39712022060220371987025"</f>
        <v>39712022060220371987025</v>
      </c>
      <c r="C797" s="4" t="s">
        <v>22</v>
      </c>
      <c r="D797" s="4" t="str">
        <f>"符淑平"</f>
        <v>符淑平</v>
      </c>
      <c r="E797" s="4" t="str">
        <f t="shared" si="34"/>
        <v>女</v>
      </c>
    </row>
    <row r="798" spans="1:5" ht="30" customHeight="1">
      <c r="A798" s="4">
        <v>796</v>
      </c>
      <c r="B798" s="4" t="str">
        <f>"39712022060221134787149"</f>
        <v>39712022060221134787149</v>
      </c>
      <c r="C798" s="4" t="s">
        <v>22</v>
      </c>
      <c r="D798" s="4" t="str">
        <f>"邱惠清"</f>
        <v>邱惠清</v>
      </c>
      <c r="E798" s="4" t="str">
        <f t="shared" si="34"/>
        <v>女</v>
      </c>
    </row>
    <row r="799" spans="1:5" ht="30" customHeight="1">
      <c r="A799" s="4">
        <v>797</v>
      </c>
      <c r="B799" s="4" t="str">
        <f>"39712022060223035887509"</f>
        <v>39712022060223035887509</v>
      </c>
      <c r="C799" s="4" t="s">
        <v>22</v>
      </c>
      <c r="D799" s="4" t="str">
        <f>"王馥芸"</f>
        <v>王馥芸</v>
      </c>
      <c r="E799" s="4" t="str">
        <f t="shared" si="34"/>
        <v>女</v>
      </c>
    </row>
    <row r="800" spans="1:5" ht="30" customHeight="1">
      <c r="A800" s="4">
        <v>798</v>
      </c>
      <c r="B800" s="4" t="str">
        <f>"39712022060223463687558"</f>
        <v>39712022060223463687558</v>
      </c>
      <c r="C800" s="4" t="s">
        <v>22</v>
      </c>
      <c r="D800" s="4" t="str">
        <f>"符丽婷"</f>
        <v>符丽婷</v>
      </c>
      <c r="E800" s="4" t="str">
        <f t="shared" si="34"/>
        <v>女</v>
      </c>
    </row>
    <row r="801" spans="1:5" ht="30" customHeight="1">
      <c r="A801" s="4">
        <v>799</v>
      </c>
      <c r="B801" s="4" t="str">
        <f>"39712022060309463587722"</f>
        <v>39712022060309463587722</v>
      </c>
      <c r="C801" s="4" t="s">
        <v>22</v>
      </c>
      <c r="D801" s="4" t="str">
        <f>"李小林"</f>
        <v>李小林</v>
      </c>
      <c r="E801" s="4" t="str">
        <f t="shared" si="34"/>
        <v>女</v>
      </c>
    </row>
    <row r="802" spans="1:5" ht="30" customHeight="1">
      <c r="A802" s="4">
        <v>800</v>
      </c>
      <c r="B802" s="4" t="str">
        <f>"39712022060313505587989"</f>
        <v>39712022060313505587989</v>
      </c>
      <c r="C802" s="4" t="s">
        <v>22</v>
      </c>
      <c r="D802" s="4" t="str">
        <f>"吴娱"</f>
        <v>吴娱</v>
      </c>
      <c r="E802" s="4" t="str">
        <f t="shared" si="34"/>
        <v>女</v>
      </c>
    </row>
    <row r="803" spans="1:5" ht="30" customHeight="1">
      <c r="A803" s="4">
        <v>801</v>
      </c>
      <c r="B803" s="4" t="str">
        <f>"39712022060314473988031"</f>
        <v>39712022060314473988031</v>
      </c>
      <c r="C803" s="4" t="s">
        <v>22</v>
      </c>
      <c r="D803" s="4" t="str">
        <f>"高华敏"</f>
        <v>高华敏</v>
      </c>
      <c r="E803" s="4" t="str">
        <f t="shared" si="34"/>
        <v>女</v>
      </c>
    </row>
    <row r="804" spans="1:5" ht="30" customHeight="1">
      <c r="A804" s="4">
        <v>802</v>
      </c>
      <c r="B804" s="4" t="str">
        <f>"39712022060315110288051"</f>
        <v>39712022060315110288051</v>
      </c>
      <c r="C804" s="4" t="s">
        <v>22</v>
      </c>
      <c r="D804" s="4" t="str">
        <f>"李水花"</f>
        <v>李水花</v>
      </c>
      <c r="E804" s="4" t="str">
        <f t="shared" si="34"/>
        <v>女</v>
      </c>
    </row>
    <row r="805" spans="1:5" ht="30" customHeight="1">
      <c r="A805" s="4">
        <v>803</v>
      </c>
      <c r="B805" s="4" t="str">
        <f>"39712022060315540488095"</f>
        <v>39712022060315540488095</v>
      </c>
      <c r="C805" s="4" t="s">
        <v>22</v>
      </c>
      <c r="D805" s="4" t="str">
        <f>"林福余"</f>
        <v>林福余</v>
      </c>
      <c r="E805" s="4" t="str">
        <f t="shared" si="34"/>
        <v>女</v>
      </c>
    </row>
    <row r="806" spans="1:5" ht="30" customHeight="1">
      <c r="A806" s="4">
        <v>804</v>
      </c>
      <c r="B806" s="4" t="str">
        <f>"39712022060318403788245"</f>
        <v>39712022060318403788245</v>
      </c>
      <c r="C806" s="4" t="s">
        <v>22</v>
      </c>
      <c r="D806" s="4" t="str">
        <f>"刘龙桢"</f>
        <v>刘龙桢</v>
      </c>
      <c r="E806" s="4" t="str">
        <f t="shared" si="34"/>
        <v>女</v>
      </c>
    </row>
    <row r="807" spans="1:5" ht="30" customHeight="1">
      <c r="A807" s="4">
        <v>805</v>
      </c>
      <c r="B807" s="4" t="str">
        <f>"39712022060319395588305"</f>
        <v>39712022060319395588305</v>
      </c>
      <c r="C807" s="4" t="s">
        <v>22</v>
      </c>
      <c r="D807" s="4" t="str">
        <f>"孙顾菲"</f>
        <v>孙顾菲</v>
      </c>
      <c r="E807" s="4" t="str">
        <f t="shared" si="34"/>
        <v>女</v>
      </c>
    </row>
    <row r="808" spans="1:5" ht="30" customHeight="1">
      <c r="A808" s="4">
        <v>806</v>
      </c>
      <c r="B808" s="4" t="str">
        <f>"39712022060407274288586"</f>
        <v>39712022060407274288586</v>
      </c>
      <c r="C808" s="4" t="s">
        <v>22</v>
      </c>
      <c r="D808" s="4" t="str">
        <f>"蔡荣雪"</f>
        <v>蔡荣雪</v>
      </c>
      <c r="E808" s="4" t="str">
        <f t="shared" si="34"/>
        <v>女</v>
      </c>
    </row>
    <row r="809" spans="1:5" ht="30" customHeight="1">
      <c r="A809" s="4">
        <v>807</v>
      </c>
      <c r="B809" s="4" t="str">
        <f>"39712022060414280788962"</f>
        <v>39712022060414280788962</v>
      </c>
      <c r="C809" s="4" t="s">
        <v>22</v>
      </c>
      <c r="D809" s="4" t="str">
        <f>"吴小艳"</f>
        <v>吴小艳</v>
      </c>
      <c r="E809" s="4" t="str">
        <f t="shared" si="34"/>
        <v>女</v>
      </c>
    </row>
    <row r="810" spans="1:5" ht="30" customHeight="1">
      <c r="A810" s="4">
        <v>808</v>
      </c>
      <c r="B810" s="4" t="str">
        <f>"39712022060419480989284"</f>
        <v>39712022060419480989284</v>
      </c>
      <c r="C810" s="4" t="s">
        <v>22</v>
      </c>
      <c r="D810" s="4" t="str">
        <f>"滕雪"</f>
        <v>滕雪</v>
      </c>
      <c r="E810" s="4" t="str">
        <f t="shared" si="34"/>
        <v>女</v>
      </c>
    </row>
    <row r="811" spans="1:5" ht="30" customHeight="1">
      <c r="A811" s="4">
        <v>809</v>
      </c>
      <c r="B811" s="4" t="str">
        <f>"39712022060421491589415"</f>
        <v>39712022060421491589415</v>
      </c>
      <c r="C811" s="4" t="s">
        <v>22</v>
      </c>
      <c r="D811" s="4" t="str">
        <f>"张蕾"</f>
        <v>张蕾</v>
      </c>
      <c r="E811" s="4" t="str">
        <f t="shared" si="34"/>
        <v>女</v>
      </c>
    </row>
    <row r="812" spans="1:5" ht="30" customHeight="1">
      <c r="A812" s="4">
        <v>810</v>
      </c>
      <c r="B812" s="4" t="str">
        <f>"39712022060509433789687"</f>
        <v>39712022060509433789687</v>
      </c>
      <c r="C812" s="4" t="s">
        <v>22</v>
      </c>
      <c r="D812" s="4" t="str">
        <f>"陈嘉嘉"</f>
        <v>陈嘉嘉</v>
      </c>
      <c r="E812" s="4" t="str">
        <f t="shared" si="34"/>
        <v>女</v>
      </c>
    </row>
    <row r="813" spans="1:5" ht="30" customHeight="1">
      <c r="A813" s="4">
        <v>811</v>
      </c>
      <c r="B813" s="4" t="str">
        <f>"39712022060513583290092"</f>
        <v>39712022060513583290092</v>
      </c>
      <c r="C813" s="4" t="s">
        <v>22</v>
      </c>
      <c r="D813" s="4" t="str">
        <f>"陈汉玉"</f>
        <v>陈汉玉</v>
      </c>
      <c r="E813" s="4" t="str">
        <f t="shared" si="34"/>
        <v>女</v>
      </c>
    </row>
    <row r="814" spans="1:5" ht="30" customHeight="1">
      <c r="A814" s="4">
        <v>812</v>
      </c>
      <c r="B814" s="4" t="str">
        <f>"39712022060514004690094"</f>
        <v>39712022060514004690094</v>
      </c>
      <c r="C814" s="4" t="s">
        <v>22</v>
      </c>
      <c r="D814" s="4" t="str">
        <f>"黎阿娇"</f>
        <v>黎阿娇</v>
      </c>
      <c r="E814" s="4" t="str">
        <f t="shared" si="34"/>
        <v>女</v>
      </c>
    </row>
    <row r="815" spans="1:5" ht="30" customHeight="1">
      <c r="A815" s="4">
        <v>813</v>
      </c>
      <c r="B815" s="4" t="str">
        <f>"39712022060516365990286"</f>
        <v>39712022060516365990286</v>
      </c>
      <c r="C815" s="4" t="s">
        <v>22</v>
      </c>
      <c r="D815" s="4" t="str">
        <f>"王毓纶"</f>
        <v>王毓纶</v>
      </c>
      <c r="E815" s="4" t="str">
        <f>"男"</f>
        <v>男</v>
      </c>
    </row>
    <row r="816" spans="1:5" ht="30" customHeight="1">
      <c r="A816" s="4">
        <v>814</v>
      </c>
      <c r="B816" s="4" t="str">
        <f>"39712022060516520390318"</f>
        <v>39712022060516520390318</v>
      </c>
      <c r="C816" s="4" t="s">
        <v>22</v>
      </c>
      <c r="D816" s="4" t="str">
        <f>"周敏"</f>
        <v>周敏</v>
      </c>
      <c r="E816" s="4" t="str">
        <f aca="true" t="shared" si="35" ref="E816:E827">"女"</f>
        <v>女</v>
      </c>
    </row>
    <row r="817" spans="1:5" ht="30" customHeight="1">
      <c r="A817" s="4">
        <v>815</v>
      </c>
      <c r="B817" s="4" t="str">
        <f>"39712022060517114790348"</f>
        <v>39712022060517114790348</v>
      </c>
      <c r="C817" s="4" t="s">
        <v>22</v>
      </c>
      <c r="D817" s="4" t="str">
        <f>"蔡仁曼"</f>
        <v>蔡仁曼</v>
      </c>
      <c r="E817" s="4" t="str">
        <f t="shared" si="35"/>
        <v>女</v>
      </c>
    </row>
    <row r="818" spans="1:5" ht="30" customHeight="1">
      <c r="A818" s="4">
        <v>816</v>
      </c>
      <c r="B818" s="4" t="str">
        <f>"39712022060521350990775"</f>
        <v>39712022060521350990775</v>
      </c>
      <c r="C818" s="4" t="s">
        <v>22</v>
      </c>
      <c r="D818" s="4" t="str">
        <f>"麦雪莹"</f>
        <v>麦雪莹</v>
      </c>
      <c r="E818" s="4" t="str">
        <f t="shared" si="35"/>
        <v>女</v>
      </c>
    </row>
    <row r="819" spans="1:5" ht="30" customHeight="1">
      <c r="A819" s="4">
        <v>817</v>
      </c>
      <c r="B819" s="4" t="str">
        <f>"39712022060523353690957"</f>
        <v>39712022060523353690957</v>
      </c>
      <c r="C819" s="4" t="s">
        <v>22</v>
      </c>
      <c r="D819" s="4" t="str">
        <f>"朱莉艳"</f>
        <v>朱莉艳</v>
      </c>
      <c r="E819" s="4" t="str">
        <f t="shared" si="35"/>
        <v>女</v>
      </c>
    </row>
    <row r="820" spans="1:5" ht="30" customHeight="1">
      <c r="A820" s="4">
        <v>818</v>
      </c>
      <c r="B820" s="4" t="str">
        <f>"39712022060610311493962"</f>
        <v>39712022060610311493962</v>
      </c>
      <c r="C820" s="4" t="s">
        <v>22</v>
      </c>
      <c r="D820" s="4" t="str">
        <f>"吴碧瑶"</f>
        <v>吴碧瑶</v>
      </c>
      <c r="E820" s="4" t="str">
        <f t="shared" si="35"/>
        <v>女</v>
      </c>
    </row>
    <row r="821" spans="1:5" ht="30" customHeight="1">
      <c r="A821" s="4">
        <v>819</v>
      </c>
      <c r="B821" s="4" t="str">
        <f>"39712022060610520694428"</f>
        <v>39712022060610520694428</v>
      </c>
      <c r="C821" s="4" t="s">
        <v>22</v>
      </c>
      <c r="D821" s="4" t="str">
        <f>"黄虹"</f>
        <v>黄虹</v>
      </c>
      <c r="E821" s="4" t="str">
        <f t="shared" si="35"/>
        <v>女</v>
      </c>
    </row>
    <row r="822" spans="1:5" ht="30" customHeight="1">
      <c r="A822" s="4">
        <v>820</v>
      </c>
      <c r="B822" s="4" t="str">
        <f>"39712022060610561594525"</f>
        <v>39712022060610561594525</v>
      </c>
      <c r="C822" s="4" t="s">
        <v>22</v>
      </c>
      <c r="D822" s="4" t="str">
        <f>"洪书华"</f>
        <v>洪书华</v>
      </c>
      <c r="E822" s="4" t="str">
        <f t="shared" si="35"/>
        <v>女</v>
      </c>
    </row>
    <row r="823" spans="1:5" ht="30" customHeight="1">
      <c r="A823" s="4">
        <v>821</v>
      </c>
      <c r="B823" s="4" t="str">
        <f>"39712022060611555995589"</f>
        <v>39712022060611555995589</v>
      </c>
      <c r="C823" s="4" t="s">
        <v>22</v>
      </c>
      <c r="D823" s="4" t="str">
        <f>"林启米"</f>
        <v>林启米</v>
      </c>
      <c r="E823" s="4" t="str">
        <f t="shared" si="35"/>
        <v>女</v>
      </c>
    </row>
    <row r="824" spans="1:5" ht="30" customHeight="1">
      <c r="A824" s="4">
        <v>822</v>
      </c>
      <c r="B824" s="4" t="str">
        <f>"39712022060613100996440"</f>
        <v>39712022060613100996440</v>
      </c>
      <c r="C824" s="4" t="s">
        <v>22</v>
      </c>
      <c r="D824" s="4" t="str">
        <f>"王芳萍"</f>
        <v>王芳萍</v>
      </c>
      <c r="E824" s="4" t="str">
        <f t="shared" si="35"/>
        <v>女</v>
      </c>
    </row>
    <row r="825" spans="1:5" ht="30" customHeight="1">
      <c r="A825" s="4">
        <v>823</v>
      </c>
      <c r="B825" s="4" t="str">
        <f>"39712022060615400898028"</f>
        <v>39712022060615400898028</v>
      </c>
      <c r="C825" s="4" t="s">
        <v>22</v>
      </c>
      <c r="D825" s="4" t="str">
        <f>"邓云花"</f>
        <v>邓云花</v>
      </c>
      <c r="E825" s="4" t="str">
        <f t="shared" si="35"/>
        <v>女</v>
      </c>
    </row>
    <row r="826" spans="1:5" ht="30" customHeight="1">
      <c r="A826" s="4">
        <v>824</v>
      </c>
      <c r="B826" s="4" t="str">
        <f>"39712022060616121098482"</f>
        <v>39712022060616121098482</v>
      </c>
      <c r="C826" s="4" t="s">
        <v>22</v>
      </c>
      <c r="D826" s="4" t="str">
        <f>"郑志芳"</f>
        <v>郑志芳</v>
      </c>
      <c r="E826" s="4" t="str">
        <f t="shared" si="35"/>
        <v>女</v>
      </c>
    </row>
    <row r="827" spans="1:5" ht="30" customHeight="1">
      <c r="A827" s="4">
        <v>825</v>
      </c>
      <c r="B827" s="4" t="str">
        <f>"39712022060618143099804"</f>
        <v>39712022060618143099804</v>
      </c>
      <c r="C827" s="4" t="s">
        <v>22</v>
      </c>
      <c r="D827" s="4" t="str">
        <f>"陈丽兰"</f>
        <v>陈丽兰</v>
      </c>
      <c r="E827" s="4" t="str">
        <f t="shared" si="35"/>
        <v>女</v>
      </c>
    </row>
    <row r="828" spans="1:5" ht="30" customHeight="1">
      <c r="A828" s="4">
        <v>826</v>
      </c>
      <c r="B828" s="4" t="str">
        <f>"397120220606184346100039"</f>
        <v>397120220606184346100039</v>
      </c>
      <c r="C828" s="4" t="s">
        <v>22</v>
      </c>
      <c r="D828" s="4" t="str">
        <f>"张弘"</f>
        <v>张弘</v>
      </c>
      <c r="E828" s="4" t="str">
        <f>"男"</f>
        <v>男</v>
      </c>
    </row>
    <row r="829" spans="1:5" ht="30" customHeight="1">
      <c r="A829" s="4">
        <v>827</v>
      </c>
      <c r="B829" s="4" t="str">
        <f>"397120220606222010101837"</f>
        <v>397120220606222010101837</v>
      </c>
      <c r="C829" s="4" t="s">
        <v>22</v>
      </c>
      <c r="D829" s="4" t="str">
        <f>"孙雅娜"</f>
        <v>孙雅娜</v>
      </c>
      <c r="E829" s="4" t="str">
        <f aca="true" t="shared" si="36" ref="E829:E849">"女"</f>
        <v>女</v>
      </c>
    </row>
    <row r="830" spans="1:5" ht="30" customHeight="1">
      <c r="A830" s="4">
        <v>828</v>
      </c>
      <c r="B830" s="4" t="str">
        <f>"397120220606222404101882"</f>
        <v>397120220606222404101882</v>
      </c>
      <c r="C830" s="4" t="s">
        <v>22</v>
      </c>
      <c r="D830" s="4" t="str">
        <f>"林秋菊"</f>
        <v>林秋菊</v>
      </c>
      <c r="E830" s="4" t="str">
        <f t="shared" si="36"/>
        <v>女</v>
      </c>
    </row>
    <row r="831" spans="1:5" ht="30" customHeight="1">
      <c r="A831" s="4">
        <v>829</v>
      </c>
      <c r="B831" s="4" t="str">
        <f>"397120220606232239102265"</f>
        <v>397120220606232239102265</v>
      </c>
      <c r="C831" s="4" t="s">
        <v>22</v>
      </c>
      <c r="D831" s="4" t="str">
        <f>"徐创蕾"</f>
        <v>徐创蕾</v>
      </c>
      <c r="E831" s="4" t="str">
        <f t="shared" si="36"/>
        <v>女</v>
      </c>
    </row>
    <row r="832" spans="1:5" ht="30" customHeight="1">
      <c r="A832" s="4">
        <v>830</v>
      </c>
      <c r="B832" s="4" t="str">
        <f>"397120220607083239102902"</f>
        <v>397120220607083239102902</v>
      </c>
      <c r="C832" s="4" t="s">
        <v>22</v>
      </c>
      <c r="D832" s="4" t="str">
        <f>"杨秀联"</f>
        <v>杨秀联</v>
      </c>
      <c r="E832" s="4" t="str">
        <f t="shared" si="36"/>
        <v>女</v>
      </c>
    </row>
    <row r="833" spans="1:5" ht="30" customHeight="1">
      <c r="A833" s="4">
        <v>831</v>
      </c>
      <c r="B833" s="4" t="str">
        <f>"397120220607182022108609"</f>
        <v>397120220607182022108609</v>
      </c>
      <c r="C833" s="4" t="s">
        <v>22</v>
      </c>
      <c r="D833" s="4" t="str">
        <f>"黄柔柔"</f>
        <v>黄柔柔</v>
      </c>
      <c r="E833" s="4" t="str">
        <f t="shared" si="36"/>
        <v>女</v>
      </c>
    </row>
    <row r="834" spans="1:5" ht="30" customHeight="1">
      <c r="A834" s="4">
        <v>832</v>
      </c>
      <c r="B834" s="4" t="str">
        <f>"397120220607201938109312"</f>
        <v>397120220607201938109312</v>
      </c>
      <c r="C834" s="4" t="s">
        <v>22</v>
      </c>
      <c r="D834" s="4" t="str">
        <f>"陈月炜"</f>
        <v>陈月炜</v>
      </c>
      <c r="E834" s="4" t="str">
        <f t="shared" si="36"/>
        <v>女</v>
      </c>
    </row>
    <row r="835" spans="1:5" ht="30" customHeight="1">
      <c r="A835" s="4">
        <v>833</v>
      </c>
      <c r="B835" s="4" t="str">
        <f>"397120220607230624110448"</f>
        <v>397120220607230624110448</v>
      </c>
      <c r="C835" s="4" t="s">
        <v>22</v>
      </c>
      <c r="D835" s="4" t="str">
        <f>"项赐凤"</f>
        <v>项赐凤</v>
      </c>
      <c r="E835" s="4" t="str">
        <f t="shared" si="36"/>
        <v>女</v>
      </c>
    </row>
    <row r="836" spans="1:5" ht="30" customHeight="1">
      <c r="A836" s="4">
        <v>834</v>
      </c>
      <c r="B836" s="4" t="str">
        <f>"397120220608012202110719"</f>
        <v>397120220608012202110719</v>
      </c>
      <c r="C836" s="4" t="s">
        <v>22</v>
      </c>
      <c r="D836" s="4" t="str">
        <f>"刘静婷"</f>
        <v>刘静婷</v>
      </c>
      <c r="E836" s="4" t="str">
        <f t="shared" si="36"/>
        <v>女</v>
      </c>
    </row>
    <row r="837" spans="1:5" ht="30" customHeight="1">
      <c r="A837" s="4">
        <v>835</v>
      </c>
      <c r="B837" s="4" t="str">
        <f>"397120220608014044110725"</f>
        <v>397120220608014044110725</v>
      </c>
      <c r="C837" s="4" t="s">
        <v>22</v>
      </c>
      <c r="D837" s="4" t="str">
        <f>"吕夏"</f>
        <v>吕夏</v>
      </c>
      <c r="E837" s="4" t="str">
        <f t="shared" si="36"/>
        <v>女</v>
      </c>
    </row>
    <row r="838" spans="1:5" ht="30" customHeight="1">
      <c r="A838" s="4">
        <v>836</v>
      </c>
      <c r="B838" s="4" t="str">
        <f>"397120220608100906111766"</f>
        <v>397120220608100906111766</v>
      </c>
      <c r="C838" s="4" t="s">
        <v>22</v>
      </c>
      <c r="D838" s="4" t="str">
        <f>"郑玲玲"</f>
        <v>郑玲玲</v>
      </c>
      <c r="E838" s="4" t="str">
        <f t="shared" si="36"/>
        <v>女</v>
      </c>
    </row>
    <row r="839" spans="1:5" ht="30" customHeight="1">
      <c r="A839" s="4">
        <v>837</v>
      </c>
      <c r="B839" s="4" t="str">
        <f>"39712022060109051578216"</f>
        <v>39712022060109051578216</v>
      </c>
      <c r="C839" s="4" t="s">
        <v>23</v>
      </c>
      <c r="D839" s="4" t="str">
        <f>"陈秋萍"</f>
        <v>陈秋萍</v>
      </c>
      <c r="E839" s="4" t="str">
        <f t="shared" si="36"/>
        <v>女</v>
      </c>
    </row>
    <row r="840" spans="1:5" ht="30" customHeight="1">
      <c r="A840" s="4">
        <v>838</v>
      </c>
      <c r="B840" s="4" t="str">
        <f>"39712022060109071678239"</f>
        <v>39712022060109071678239</v>
      </c>
      <c r="C840" s="4" t="s">
        <v>23</v>
      </c>
      <c r="D840" s="4" t="str">
        <f>"陈蕾静"</f>
        <v>陈蕾静</v>
      </c>
      <c r="E840" s="4" t="str">
        <f t="shared" si="36"/>
        <v>女</v>
      </c>
    </row>
    <row r="841" spans="1:5" ht="30" customHeight="1">
      <c r="A841" s="4">
        <v>839</v>
      </c>
      <c r="B841" s="4" t="str">
        <f>"39712022060109204678367"</f>
        <v>39712022060109204678367</v>
      </c>
      <c r="C841" s="4" t="s">
        <v>23</v>
      </c>
      <c r="D841" s="4" t="str">
        <f>"陈劲诗"</f>
        <v>陈劲诗</v>
      </c>
      <c r="E841" s="4" t="str">
        <f t="shared" si="36"/>
        <v>女</v>
      </c>
    </row>
    <row r="842" spans="1:5" ht="30" customHeight="1">
      <c r="A842" s="4">
        <v>840</v>
      </c>
      <c r="B842" s="4" t="str">
        <f>"39712022060109215378383"</f>
        <v>39712022060109215378383</v>
      </c>
      <c r="C842" s="4" t="s">
        <v>23</v>
      </c>
      <c r="D842" s="4" t="str">
        <f>"赵月秀"</f>
        <v>赵月秀</v>
      </c>
      <c r="E842" s="4" t="str">
        <f t="shared" si="36"/>
        <v>女</v>
      </c>
    </row>
    <row r="843" spans="1:5" ht="30" customHeight="1">
      <c r="A843" s="4">
        <v>841</v>
      </c>
      <c r="B843" s="4" t="str">
        <f>"39712022060109425478567"</f>
        <v>39712022060109425478567</v>
      </c>
      <c r="C843" s="4" t="s">
        <v>23</v>
      </c>
      <c r="D843" s="4" t="str">
        <f>"符芮帆"</f>
        <v>符芮帆</v>
      </c>
      <c r="E843" s="4" t="str">
        <f t="shared" si="36"/>
        <v>女</v>
      </c>
    </row>
    <row r="844" spans="1:5" ht="30" customHeight="1">
      <c r="A844" s="4">
        <v>842</v>
      </c>
      <c r="B844" s="4" t="str">
        <f>"39712022060109434978574"</f>
        <v>39712022060109434978574</v>
      </c>
      <c r="C844" s="4" t="s">
        <v>23</v>
      </c>
      <c r="D844" s="4" t="str">
        <f>"陈玲"</f>
        <v>陈玲</v>
      </c>
      <c r="E844" s="4" t="str">
        <f t="shared" si="36"/>
        <v>女</v>
      </c>
    </row>
    <row r="845" spans="1:5" ht="30" customHeight="1">
      <c r="A845" s="4">
        <v>843</v>
      </c>
      <c r="B845" s="4" t="str">
        <f>"39712022060109553378672"</f>
        <v>39712022060109553378672</v>
      </c>
      <c r="C845" s="4" t="s">
        <v>23</v>
      </c>
      <c r="D845" s="4" t="str">
        <f>"梁海姗"</f>
        <v>梁海姗</v>
      </c>
      <c r="E845" s="4" t="str">
        <f t="shared" si="36"/>
        <v>女</v>
      </c>
    </row>
    <row r="846" spans="1:5" ht="30" customHeight="1">
      <c r="A846" s="4">
        <v>844</v>
      </c>
      <c r="B846" s="4" t="str">
        <f>"39712022060109592478708"</f>
        <v>39712022060109592478708</v>
      </c>
      <c r="C846" s="4" t="s">
        <v>23</v>
      </c>
      <c r="D846" s="4" t="str">
        <f>"王馨怡"</f>
        <v>王馨怡</v>
      </c>
      <c r="E846" s="4" t="str">
        <f t="shared" si="36"/>
        <v>女</v>
      </c>
    </row>
    <row r="847" spans="1:5" ht="30" customHeight="1">
      <c r="A847" s="4">
        <v>845</v>
      </c>
      <c r="B847" s="4" t="str">
        <f>"39712022060110252078917"</f>
        <v>39712022060110252078917</v>
      </c>
      <c r="C847" s="4" t="s">
        <v>23</v>
      </c>
      <c r="D847" s="4" t="str">
        <f>"吴清紫"</f>
        <v>吴清紫</v>
      </c>
      <c r="E847" s="4" t="str">
        <f t="shared" si="36"/>
        <v>女</v>
      </c>
    </row>
    <row r="848" spans="1:5" ht="30" customHeight="1">
      <c r="A848" s="4">
        <v>846</v>
      </c>
      <c r="B848" s="4" t="str">
        <f>"39712022060110320378969"</f>
        <v>39712022060110320378969</v>
      </c>
      <c r="C848" s="4" t="s">
        <v>23</v>
      </c>
      <c r="D848" s="4" t="str">
        <f>"王璐"</f>
        <v>王璐</v>
      </c>
      <c r="E848" s="4" t="str">
        <f t="shared" si="36"/>
        <v>女</v>
      </c>
    </row>
    <row r="849" spans="1:5" ht="30" customHeight="1">
      <c r="A849" s="4">
        <v>847</v>
      </c>
      <c r="B849" s="4" t="str">
        <f>"39712022060110401479031"</f>
        <v>39712022060110401479031</v>
      </c>
      <c r="C849" s="4" t="s">
        <v>23</v>
      </c>
      <c r="D849" s="4" t="str">
        <f>"王琼扬"</f>
        <v>王琼扬</v>
      </c>
      <c r="E849" s="4" t="str">
        <f t="shared" si="36"/>
        <v>女</v>
      </c>
    </row>
    <row r="850" spans="1:5" ht="30" customHeight="1">
      <c r="A850" s="4">
        <v>848</v>
      </c>
      <c r="B850" s="4" t="str">
        <f>"39712022060111293479420"</f>
        <v>39712022060111293479420</v>
      </c>
      <c r="C850" s="4" t="s">
        <v>23</v>
      </c>
      <c r="D850" s="4" t="str">
        <f>"冯吉"</f>
        <v>冯吉</v>
      </c>
      <c r="E850" s="4" t="str">
        <f>"男"</f>
        <v>男</v>
      </c>
    </row>
    <row r="851" spans="1:5" ht="30" customHeight="1">
      <c r="A851" s="4">
        <v>849</v>
      </c>
      <c r="B851" s="4" t="str">
        <f>"39712022060111323879453"</f>
        <v>39712022060111323879453</v>
      </c>
      <c r="C851" s="4" t="s">
        <v>23</v>
      </c>
      <c r="D851" s="4" t="str">
        <f>"汪艳婷"</f>
        <v>汪艳婷</v>
      </c>
      <c r="E851" s="4" t="str">
        <f aca="true" t="shared" si="37" ref="E851:E875">"女"</f>
        <v>女</v>
      </c>
    </row>
    <row r="852" spans="1:5" ht="30" customHeight="1">
      <c r="A852" s="4">
        <v>850</v>
      </c>
      <c r="B852" s="4" t="str">
        <f>"39712022060111374079485"</f>
        <v>39712022060111374079485</v>
      </c>
      <c r="C852" s="4" t="s">
        <v>23</v>
      </c>
      <c r="D852" s="4" t="str">
        <f>"高军"</f>
        <v>高军</v>
      </c>
      <c r="E852" s="4" t="str">
        <f t="shared" si="37"/>
        <v>女</v>
      </c>
    </row>
    <row r="853" spans="1:5" ht="30" customHeight="1">
      <c r="A853" s="4">
        <v>851</v>
      </c>
      <c r="B853" s="4" t="str">
        <f>"39712022060112124579665"</f>
        <v>39712022060112124579665</v>
      </c>
      <c r="C853" s="4" t="s">
        <v>23</v>
      </c>
      <c r="D853" s="4" t="str">
        <f>"吴靖佳"</f>
        <v>吴靖佳</v>
      </c>
      <c r="E853" s="4" t="str">
        <f t="shared" si="37"/>
        <v>女</v>
      </c>
    </row>
    <row r="854" spans="1:5" ht="30" customHeight="1">
      <c r="A854" s="4">
        <v>852</v>
      </c>
      <c r="B854" s="4" t="str">
        <f>"39712022060112290179748"</f>
        <v>39712022060112290179748</v>
      </c>
      <c r="C854" s="4" t="s">
        <v>23</v>
      </c>
      <c r="D854" s="4" t="str">
        <f>"陈婆燕"</f>
        <v>陈婆燕</v>
      </c>
      <c r="E854" s="4" t="str">
        <f t="shared" si="37"/>
        <v>女</v>
      </c>
    </row>
    <row r="855" spans="1:5" ht="30" customHeight="1">
      <c r="A855" s="4">
        <v>853</v>
      </c>
      <c r="B855" s="4" t="str">
        <f>"39712022060113595380168"</f>
        <v>39712022060113595380168</v>
      </c>
      <c r="C855" s="4" t="s">
        <v>23</v>
      </c>
      <c r="D855" s="4" t="str">
        <f>"陈花香"</f>
        <v>陈花香</v>
      </c>
      <c r="E855" s="4" t="str">
        <f t="shared" si="37"/>
        <v>女</v>
      </c>
    </row>
    <row r="856" spans="1:5" ht="30" customHeight="1">
      <c r="A856" s="4">
        <v>854</v>
      </c>
      <c r="B856" s="4" t="str">
        <f>"39712022060114470380363"</f>
        <v>39712022060114470380363</v>
      </c>
      <c r="C856" s="4" t="s">
        <v>23</v>
      </c>
      <c r="D856" s="4" t="str">
        <f>"戴秀芬"</f>
        <v>戴秀芬</v>
      </c>
      <c r="E856" s="4" t="str">
        <f t="shared" si="37"/>
        <v>女</v>
      </c>
    </row>
    <row r="857" spans="1:5" ht="30" customHeight="1">
      <c r="A857" s="4">
        <v>855</v>
      </c>
      <c r="B857" s="4" t="str">
        <f>"39712022060114570980416"</f>
        <v>39712022060114570980416</v>
      </c>
      <c r="C857" s="4" t="s">
        <v>23</v>
      </c>
      <c r="D857" s="4" t="str">
        <f>"符海娟"</f>
        <v>符海娟</v>
      </c>
      <c r="E857" s="4" t="str">
        <f t="shared" si="37"/>
        <v>女</v>
      </c>
    </row>
    <row r="858" spans="1:5" ht="30" customHeight="1">
      <c r="A858" s="4">
        <v>856</v>
      </c>
      <c r="B858" s="4" t="str">
        <f>"39712022060116104680866"</f>
        <v>39712022060116104680866</v>
      </c>
      <c r="C858" s="4" t="s">
        <v>23</v>
      </c>
      <c r="D858" s="4" t="str">
        <f>"黄淑美"</f>
        <v>黄淑美</v>
      </c>
      <c r="E858" s="4" t="str">
        <f t="shared" si="37"/>
        <v>女</v>
      </c>
    </row>
    <row r="859" spans="1:5" ht="30" customHeight="1">
      <c r="A859" s="4">
        <v>857</v>
      </c>
      <c r="B859" s="4" t="str">
        <f>"39712022060116224080934"</f>
        <v>39712022060116224080934</v>
      </c>
      <c r="C859" s="4" t="s">
        <v>23</v>
      </c>
      <c r="D859" s="4" t="str">
        <f>"吴富菊"</f>
        <v>吴富菊</v>
      </c>
      <c r="E859" s="4" t="str">
        <f t="shared" si="37"/>
        <v>女</v>
      </c>
    </row>
    <row r="860" spans="1:5" ht="30" customHeight="1">
      <c r="A860" s="4">
        <v>858</v>
      </c>
      <c r="B860" s="4" t="str">
        <f>"39712022060117183381247"</f>
        <v>39712022060117183381247</v>
      </c>
      <c r="C860" s="4" t="s">
        <v>23</v>
      </c>
      <c r="D860" s="4" t="str">
        <f>"李秋燕"</f>
        <v>李秋燕</v>
      </c>
      <c r="E860" s="4" t="str">
        <f t="shared" si="37"/>
        <v>女</v>
      </c>
    </row>
    <row r="861" spans="1:5" ht="30" customHeight="1">
      <c r="A861" s="4">
        <v>859</v>
      </c>
      <c r="B861" s="4" t="str">
        <f>"39712022060118370181615"</f>
        <v>39712022060118370181615</v>
      </c>
      <c r="C861" s="4" t="s">
        <v>23</v>
      </c>
      <c r="D861" s="4" t="str">
        <f>"王玉香"</f>
        <v>王玉香</v>
      </c>
      <c r="E861" s="4" t="str">
        <f t="shared" si="37"/>
        <v>女</v>
      </c>
    </row>
    <row r="862" spans="1:5" ht="30" customHeight="1">
      <c r="A862" s="4">
        <v>860</v>
      </c>
      <c r="B862" s="4" t="str">
        <f>"39712022060119295581821"</f>
        <v>39712022060119295581821</v>
      </c>
      <c r="C862" s="4" t="s">
        <v>23</v>
      </c>
      <c r="D862" s="4" t="str">
        <f>"陈泽娇"</f>
        <v>陈泽娇</v>
      </c>
      <c r="E862" s="4" t="str">
        <f t="shared" si="37"/>
        <v>女</v>
      </c>
    </row>
    <row r="863" spans="1:5" ht="30" customHeight="1">
      <c r="A863" s="4">
        <v>861</v>
      </c>
      <c r="B863" s="4" t="str">
        <f>"39712022060119334781840"</f>
        <v>39712022060119334781840</v>
      </c>
      <c r="C863" s="4" t="s">
        <v>23</v>
      </c>
      <c r="D863" s="4" t="str">
        <f>"裴日巧"</f>
        <v>裴日巧</v>
      </c>
      <c r="E863" s="4" t="str">
        <f t="shared" si="37"/>
        <v>女</v>
      </c>
    </row>
    <row r="864" spans="1:5" ht="30" customHeight="1">
      <c r="A864" s="4">
        <v>862</v>
      </c>
      <c r="B864" s="4" t="str">
        <f>"39712022060119512281913"</f>
        <v>39712022060119512281913</v>
      </c>
      <c r="C864" s="4" t="s">
        <v>23</v>
      </c>
      <c r="D864" s="4" t="str">
        <f>"马清明"</f>
        <v>马清明</v>
      </c>
      <c r="E864" s="4" t="str">
        <f t="shared" si="37"/>
        <v>女</v>
      </c>
    </row>
    <row r="865" spans="1:5" ht="30" customHeight="1">
      <c r="A865" s="4">
        <v>863</v>
      </c>
      <c r="B865" s="4" t="str">
        <f>"39712022060120380382118"</f>
        <v>39712022060120380382118</v>
      </c>
      <c r="C865" s="4" t="s">
        <v>23</v>
      </c>
      <c r="D865" s="4" t="str">
        <f>"胡小燕"</f>
        <v>胡小燕</v>
      </c>
      <c r="E865" s="4" t="str">
        <f t="shared" si="37"/>
        <v>女</v>
      </c>
    </row>
    <row r="866" spans="1:5" ht="30" customHeight="1">
      <c r="A866" s="4">
        <v>864</v>
      </c>
      <c r="B866" s="4" t="str">
        <f>"39712022060120572282212"</f>
        <v>39712022060120572282212</v>
      </c>
      <c r="C866" s="4" t="s">
        <v>23</v>
      </c>
      <c r="D866" s="4" t="str">
        <f>"梁彩波"</f>
        <v>梁彩波</v>
      </c>
      <c r="E866" s="4" t="str">
        <f t="shared" si="37"/>
        <v>女</v>
      </c>
    </row>
    <row r="867" spans="1:5" ht="30" customHeight="1">
      <c r="A867" s="4">
        <v>865</v>
      </c>
      <c r="B867" s="4" t="str">
        <f>"39712022060121174882316"</f>
        <v>39712022060121174882316</v>
      </c>
      <c r="C867" s="4" t="s">
        <v>23</v>
      </c>
      <c r="D867" s="4" t="str">
        <f>"林如芳"</f>
        <v>林如芳</v>
      </c>
      <c r="E867" s="4" t="str">
        <f t="shared" si="37"/>
        <v>女</v>
      </c>
    </row>
    <row r="868" spans="1:5" ht="30" customHeight="1">
      <c r="A868" s="4">
        <v>866</v>
      </c>
      <c r="B868" s="4" t="str">
        <f>"39712022060121243482353"</f>
        <v>39712022060121243482353</v>
      </c>
      <c r="C868" s="4" t="s">
        <v>23</v>
      </c>
      <c r="D868" s="4" t="str">
        <f>"杨凯婷"</f>
        <v>杨凯婷</v>
      </c>
      <c r="E868" s="4" t="str">
        <f t="shared" si="37"/>
        <v>女</v>
      </c>
    </row>
    <row r="869" spans="1:5" ht="30" customHeight="1">
      <c r="A869" s="4">
        <v>867</v>
      </c>
      <c r="B869" s="4" t="str">
        <f>"39712022060121534682519"</f>
        <v>39712022060121534682519</v>
      </c>
      <c r="C869" s="4" t="s">
        <v>23</v>
      </c>
      <c r="D869" s="4" t="str">
        <f>"吴云"</f>
        <v>吴云</v>
      </c>
      <c r="E869" s="4" t="str">
        <f t="shared" si="37"/>
        <v>女</v>
      </c>
    </row>
    <row r="870" spans="1:5" ht="30" customHeight="1">
      <c r="A870" s="4">
        <v>868</v>
      </c>
      <c r="B870" s="4" t="str">
        <f>"39712022060123140682923"</f>
        <v>39712022060123140682923</v>
      </c>
      <c r="C870" s="4" t="s">
        <v>23</v>
      </c>
      <c r="D870" s="4" t="str">
        <f>"谢福美"</f>
        <v>谢福美</v>
      </c>
      <c r="E870" s="4" t="str">
        <f t="shared" si="37"/>
        <v>女</v>
      </c>
    </row>
    <row r="871" spans="1:5" ht="30" customHeight="1">
      <c r="A871" s="4">
        <v>869</v>
      </c>
      <c r="B871" s="4" t="str">
        <f>"39712022060123341882980"</f>
        <v>39712022060123341882980</v>
      </c>
      <c r="C871" s="4" t="s">
        <v>23</v>
      </c>
      <c r="D871" s="4" t="str">
        <f>"邢天钰"</f>
        <v>邢天钰</v>
      </c>
      <c r="E871" s="4" t="str">
        <f t="shared" si="37"/>
        <v>女</v>
      </c>
    </row>
    <row r="872" spans="1:5" ht="30" customHeight="1">
      <c r="A872" s="4">
        <v>870</v>
      </c>
      <c r="B872" s="4" t="str">
        <f>"39712022060123574083037"</f>
        <v>39712022060123574083037</v>
      </c>
      <c r="C872" s="4" t="s">
        <v>23</v>
      </c>
      <c r="D872" s="4" t="str">
        <f>"郑立波"</f>
        <v>郑立波</v>
      </c>
      <c r="E872" s="4" t="str">
        <f t="shared" si="37"/>
        <v>女</v>
      </c>
    </row>
    <row r="873" spans="1:5" ht="30" customHeight="1">
      <c r="A873" s="4">
        <v>871</v>
      </c>
      <c r="B873" s="4" t="str">
        <f>"39712022060200184383072"</f>
        <v>39712022060200184383072</v>
      </c>
      <c r="C873" s="4" t="s">
        <v>23</v>
      </c>
      <c r="D873" s="4" t="str">
        <f>"李欣泽"</f>
        <v>李欣泽</v>
      </c>
      <c r="E873" s="4" t="str">
        <f t="shared" si="37"/>
        <v>女</v>
      </c>
    </row>
    <row r="874" spans="1:5" ht="30" customHeight="1">
      <c r="A874" s="4">
        <v>872</v>
      </c>
      <c r="B874" s="4" t="str">
        <f>"39712022060208033883227"</f>
        <v>39712022060208033883227</v>
      </c>
      <c r="C874" s="4" t="s">
        <v>23</v>
      </c>
      <c r="D874" s="4" t="str">
        <f>"岑云玲"</f>
        <v>岑云玲</v>
      </c>
      <c r="E874" s="4" t="str">
        <f t="shared" si="37"/>
        <v>女</v>
      </c>
    </row>
    <row r="875" spans="1:5" ht="30" customHeight="1">
      <c r="A875" s="4">
        <v>873</v>
      </c>
      <c r="B875" s="4" t="str">
        <f>"39712022060209252683695"</f>
        <v>39712022060209252683695</v>
      </c>
      <c r="C875" s="4" t="s">
        <v>23</v>
      </c>
      <c r="D875" s="4" t="str">
        <f>"许海花"</f>
        <v>许海花</v>
      </c>
      <c r="E875" s="4" t="str">
        <f t="shared" si="37"/>
        <v>女</v>
      </c>
    </row>
    <row r="876" spans="1:5" ht="30" customHeight="1">
      <c r="A876" s="4">
        <v>874</v>
      </c>
      <c r="B876" s="4" t="str">
        <f>"39712022060209333283748"</f>
        <v>39712022060209333283748</v>
      </c>
      <c r="C876" s="4" t="s">
        <v>23</v>
      </c>
      <c r="D876" s="4" t="str">
        <f>"郑鹏"</f>
        <v>郑鹏</v>
      </c>
      <c r="E876" s="4" t="str">
        <f>"男"</f>
        <v>男</v>
      </c>
    </row>
    <row r="877" spans="1:5" ht="30" customHeight="1">
      <c r="A877" s="4">
        <v>875</v>
      </c>
      <c r="B877" s="4" t="str">
        <f>"39712022060209495583875"</f>
        <v>39712022060209495583875</v>
      </c>
      <c r="C877" s="4" t="s">
        <v>23</v>
      </c>
      <c r="D877" s="4" t="str">
        <f>"张少玲"</f>
        <v>张少玲</v>
      </c>
      <c r="E877" s="4" t="str">
        <f aca="true" t="shared" si="38" ref="E877:E896">"女"</f>
        <v>女</v>
      </c>
    </row>
    <row r="878" spans="1:5" ht="30" customHeight="1">
      <c r="A878" s="4">
        <v>876</v>
      </c>
      <c r="B878" s="4" t="str">
        <f>"39712022060210083684004"</f>
        <v>39712022060210083684004</v>
      </c>
      <c r="C878" s="4" t="s">
        <v>23</v>
      </c>
      <c r="D878" s="4" t="str">
        <f>"陈青莉"</f>
        <v>陈青莉</v>
      </c>
      <c r="E878" s="4" t="str">
        <f t="shared" si="38"/>
        <v>女</v>
      </c>
    </row>
    <row r="879" spans="1:5" ht="30" customHeight="1">
      <c r="A879" s="4">
        <v>877</v>
      </c>
      <c r="B879" s="4" t="str">
        <f>"39712022060210353284223"</f>
        <v>39712022060210353284223</v>
      </c>
      <c r="C879" s="4" t="s">
        <v>23</v>
      </c>
      <c r="D879" s="4" t="str">
        <f>"梁嘉金"</f>
        <v>梁嘉金</v>
      </c>
      <c r="E879" s="4" t="str">
        <f t="shared" si="38"/>
        <v>女</v>
      </c>
    </row>
    <row r="880" spans="1:5" ht="30" customHeight="1">
      <c r="A880" s="4">
        <v>878</v>
      </c>
      <c r="B880" s="4" t="str">
        <f>"39712022060210394084250"</f>
        <v>39712022060210394084250</v>
      </c>
      <c r="C880" s="4" t="s">
        <v>23</v>
      </c>
      <c r="D880" s="4" t="str">
        <f>"徐燕燕"</f>
        <v>徐燕燕</v>
      </c>
      <c r="E880" s="4" t="str">
        <f t="shared" si="38"/>
        <v>女</v>
      </c>
    </row>
    <row r="881" spans="1:5" ht="30" customHeight="1">
      <c r="A881" s="4">
        <v>879</v>
      </c>
      <c r="B881" s="4" t="str">
        <f>"39712022060211301484610"</f>
        <v>39712022060211301484610</v>
      </c>
      <c r="C881" s="4" t="s">
        <v>23</v>
      </c>
      <c r="D881" s="4" t="str">
        <f>"张是语"</f>
        <v>张是语</v>
      </c>
      <c r="E881" s="4" t="str">
        <f t="shared" si="38"/>
        <v>女</v>
      </c>
    </row>
    <row r="882" spans="1:5" ht="30" customHeight="1">
      <c r="A882" s="4">
        <v>880</v>
      </c>
      <c r="B882" s="4" t="str">
        <f>"39712022060212040684781"</f>
        <v>39712022060212040684781</v>
      </c>
      <c r="C882" s="4" t="s">
        <v>23</v>
      </c>
      <c r="D882" s="4" t="str">
        <f>"符金花"</f>
        <v>符金花</v>
      </c>
      <c r="E882" s="4" t="str">
        <f t="shared" si="38"/>
        <v>女</v>
      </c>
    </row>
    <row r="883" spans="1:5" ht="30" customHeight="1">
      <c r="A883" s="4">
        <v>881</v>
      </c>
      <c r="B883" s="4" t="str">
        <f>"39712022060213032985131"</f>
        <v>39712022060213032985131</v>
      </c>
      <c r="C883" s="4" t="s">
        <v>23</v>
      </c>
      <c r="D883" s="4" t="str">
        <f>"吴小妹"</f>
        <v>吴小妹</v>
      </c>
      <c r="E883" s="4" t="str">
        <f t="shared" si="38"/>
        <v>女</v>
      </c>
    </row>
    <row r="884" spans="1:5" ht="30" customHeight="1">
      <c r="A884" s="4">
        <v>882</v>
      </c>
      <c r="B884" s="4" t="str">
        <f>"39712022060213155085189"</f>
        <v>39712022060213155085189</v>
      </c>
      <c r="C884" s="4" t="s">
        <v>23</v>
      </c>
      <c r="D884" s="4" t="str">
        <f>"王景荟"</f>
        <v>王景荟</v>
      </c>
      <c r="E884" s="4" t="str">
        <f t="shared" si="38"/>
        <v>女</v>
      </c>
    </row>
    <row r="885" spans="1:5" ht="30" customHeight="1">
      <c r="A885" s="4">
        <v>883</v>
      </c>
      <c r="B885" s="4" t="str">
        <f>"39712022060214233385478"</f>
        <v>39712022060214233385478</v>
      </c>
      <c r="C885" s="4" t="s">
        <v>23</v>
      </c>
      <c r="D885" s="4" t="str">
        <f>"王文静"</f>
        <v>王文静</v>
      </c>
      <c r="E885" s="4" t="str">
        <f t="shared" si="38"/>
        <v>女</v>
      </c>
    </row>
    <row r="886" spans="1:5" ht="30" customHeight="1">
      <c r="A886" s="4">
        <v>884</v>
      </c>
      <c r="B886" s="4" t="str">
        <f>"39712022060215232785801"</f>
        <v>39712022060215232785801</v>
      </c>
      <c r="C886" s="4" t="s">
        <v>23</v>
      </c>
      <c r="D886" s="4" t="str">
        <f>"黄志灵"</f>
        <v>黄志灵</v>
      </c>
      <c r="E886" s="4" t="str">
        <f t="shared" si="38"/>
        <v>女</v>
      </c>
    </row>
    <row r="887" spans="1:5" ht="30" customHeight="1">
      <c r="A887" s="4">
        <v>885</v>
      </c>
      <c r="B887" s="4" t="str">
        <f>"39712022060215382685884"</f>
        <v>39712022060215382685884</v>
      </c>
      <c r="C887" s="4" t="s">
        <v>23</v>
      </c>
      <c r="D887" s="4" t="str">
        <f>"李嘉丽"</f>
        <v>李嘉丽</v>
      </c>
      <c r="E887" s="4" t="str">
        <f t="shared" si="38"/>
        <v>女</v>
      </c>
    </row>
    <row r="888" spans="1:5" ht="30" customHeight="1">
      <c r="A888" s="4">
        <v>886</v>
      </c>
      <c r="B888" s="4" t="str">
        <f>"39712022060215591085996"</f>
        <v>39712022060215591085996</v>
      </c>
      <c r="C888" s="4" t="s">
        <v>23</v>
      </c>
      <c r="D888" s="4" t="str">
        <f>"陈万顽"</f>
        <v>陈万顽</v>
      </c>
      <c r="E888" s="4" t="str">
        <f t="shared" si="38"/>
        <v>女</v>
      </c>
    </row>
    <row r="889" spans="1:5" ht="30" customHeight="1">
      <c r="A889" s="4">
        <v>887</v>
      </c>
      <c r="B889" s="4" t="str">
        <f>"39712022060216395486223"</f>
        <v>39712022060216395486223</v>
      </c>
      <c r="C889" s="4" t="s">
        <v>23</v>
      </c>
      <c r="D889" s="4" t="str">
        <f>"伍美翔"</f>
        <v>伍美翔</v>
      </c>
      <c r="E889" s="4" t="str">
        <f t="shared" si="38"/>
        <v>女</v>
      </c>
    </row>
    <row r="890" spans="1:5" ht="30" customHeight="1">
      <c r="A890" s="4">
        <v>888</v>
      </c>
      <c r="B890" s="4" t="str">
        <f>"39712022060216490186255"</f>
        <v>39712022060216490186255</v>
      </c>
      <c r="C890" s="4" t="s">
        <v>23</v>
      </c>
      <c r="D890" s="4" t="str">
        <f>"周金叶"</f>
        <v>周金叶</v>
      </c>
      <c r="E890" s="4" t="str">
        <f t="shared" si="38"/>
        <v>女</v>
      </c>
    </row>
    <row r="891" spans="1:5" ht="30" customHeight="1">
      <c r="A891" s="4">
        <v>889</v>
      </c>
      <c r="B891" s="4" t="str">
        <f>"39712022060216504386267"</f>
        <v>39712022060216504386267</v>
      </c>
      <c r="C891" s="4" t="s">
        <v>23</v>
      </c>
      <c r="D891" s="4" t="str">
        <f>"邢春柳"</f>
        <v>邢春柳</v>
      </c>
      <c r="E891" s="4" t="str">
        <f t="shared" si="38"/>
        <v>女</v>
      </c>
    </row>
    <row r="892" spans="1:5" ht="30" customHeight="1">
      <c r="A892" s="4">
        <v>890</v>
      </c>
      <c r="B892" s="4" t="str">
        <f>"39712022060217242886434"</f>
        <v>39712022060217242886434</v>
      </c>
      <c r="C892" s="4" t="s">
        <v>23</v>
      </c>
      <c r="D892" s="4" t="str">
        <f>"罗梅香"</f>
        <v>罗梅香</v>
      </c>
      <c r="E892" s="4" t="str">
        <f t="shared" si="38"/>
        <v>女</v>
      </c>
    </row>
    <row r="893" spans="1:5" ht="30" customHeight="1">
      <c r="A893" s="4">
        <v>891</v>
      </c>
      <c r="B893" s="4" t="str">
        <f>"39712022060217434986509"</f>
        <v>39712022060217434986509</v>
      </c>
      <c r="C893" s="4" t="s">
        <v>23</v>
      </c>
      <c r="D893" s="4" t="str">
        <f>"杨惠玲"</f>
        <v>杨惠玲</v>
      </c>
      <c r="E893" s="4" t="str">
        <f t="shared" si="38"/>
        <v>女</v>
      </c>
    </row>
    <row r="894" spans="1:5" ht="30" customHeight="1">
      <c r="A894" s="4">
        <v>892</v>
      </c>
      <c r="B894" s="4" t="str">
        <f>"39712022060217553186553"</f>
        <v>39712022060217553186553</v>
      </c>
      <c r="C894" s="4" t="s">
        <v>23</v>
      </c>
      <c r="D894" s="4" t="str">
        <f>"王誉蓉"</f>
        <v>王誉蓉</v>
      </c>
      <c r="E894" s="4" t="str">
        <f t="shared" si="38"/>
        <v>女</v>
      </c>
    </row>
    <row r="895" spans="1:5" ht="30" customHeight="1">
      <c r="A895" s="4">
        <v>893</v>
      </c>
      <c r="B895" s="4" t="str">
        <f>"39712022060217593486578"</f>
        <v>39712022060217593486578</v>
      </c>
      <c r="C895" s="4" t="s">
        <v>23</v>
      </c>
      <c r="D895" s="4" t="str">
        <f>"廖贻芳"</f>
        <v>廖贻芳</v>
      </c>
      <c r="E895" s="4" t="str">
        <f t="shared" si="38"/>
        <v>女</v>
      </c>
    </row>
    <row r="896" spans="1:5" ht="30" customHeight="1">
      <c r="A896" s="4">
        <v>894</v>
      </c>
      <c r="B896" s="4" t="str">
        <f>"39712022060219091786789"</f>
        <v>39712022060219091786789</v>
      </c>
      <c r="C896" s="4" t="s">
        <v>23</v>
      </c>
      <c r="D896" s="4" t="str">
        <f>"张雅婷"</f>
        <v>张雅婷</v>
      </c>
      <c r="E896" s="4" t="str">
        <f t="shared" si="38"/>
        <v>女</v>
      </c>
    </row>
    <row r="897" spans="1:5" ht="30" customHeight="1">
      <c r="A897" s="4">
        <v>895</v>
      </c>
      <c r="B897" s="4" t="str">
        <f>"39712022060220024886934"</f>
        <v>39712022060220024886934</v>
      </c>
      <c r="C897" s="4" t="s">
        <v>23</v>
      </c>
      <c r="D897" s="4" t="str">
        <f>"何梦洋"</f>
        <v>何梦洋</v>
      </c>
      <c r="E897" s="4" t="str">
        <f>"男"</f>
        <v>男</v>
      </c>
    </row>
    <row r="898" spans="1:5" ht="30" customHeight="1">
      <c r="A898" s="4">
        <v>896</v>
      </c>
      <c r="B898" s="4" t="str">
        <f>"39712022060222502887478"</f>
        <v>39712022060222502887478</v>
      </c>
      <c r="C898" s="4" t="s">
        <v>23</v>
      </c>
      <c r="D898" s="4" t="str">
        <f>"陈芳燕"</f>
        <v>陈芳燕</v>
      </c>
      <c r="E898" s="4" t="str">
        <f aca="true" t="shared" si="39" ref="E898:E907">"女"</f>
        <v>女</v>
      </c>
    </row>
    <row r="899" spans="1:5" ht="30" customHeight="1">
      <c r="A899" s="4">
        <v>897</v>
      </c>
      <c r="B899" s="4" t="str">
        <f>"39712022060222552287498"</f>
        <v>39712022060222552287498</v>
      </c>
      <c r="C899" s="4" t="s">
        <v>23</v>
      </c>
      <c r="D899" s="4" t="str">
        <f>"叶玉会"</f>
        <v>叶玉会</v>
      </c>
      <c r="E899" s="4" t="str">
        <f t="shared" si="39"/>
        <v>女</v>
      </c>
    </row>
    <row r="900" spans="1:5" ht="30" customHeight="1">
      <c r="A900" s="4">
        <v>898</v>
      </c>
      <c r="B900" s="4" t="str">
        <f>"39712022060301305487604"</f>
        <v>39712022060301305487604</v>
      </c>
      <c r="C900" s="4" t="s">
        <v>23</v>
      </c>
      <c r="D900" s="4" t="str">
        <f>"周萍"</f>
        <v>周萍</v>
      </c>
      <c r="E900" s="4" t="str">
        <f t="shared" si="39"/>
        <v>女</v>
      </c>
    </row>
    <row r="901" spans="1:5" ht="30" customHeight="1">
      <c r="A901" s="4">
        <v>899</v>
      </c>
      <c r="B901" s="4" t="str">
        <f>"39712022060310144987756"</f>
        <v>39712022060310144987756</v>
      </c>
      <c r="C901" s="4" t="s">
        <v>23</v>
      </c>
      <c r="D901" s="4" t="str">
        <f>"颜斌珍"</f>
        <v>颜斌珍</v>
      </c>
      <c r="E901" s="4" t="str">
        <f t="shared" si="39"/>
        <v>女</v>
      </c>
    </row>
    <row r="902" spans="1:5" ht="30" customHeight="1">
      <c r="A902" s="4">
        <v>900</v>
      </c>
      <c r="B902" s="4" t="str">
        <f>"39712022060310570687808"</f>
        <v>39712022060310570687808</v>
      </c>
      <c r="C902" s="4" t="s">
        <v>23</v>
      </c>
      <c r="D902" s="4" t="str">
        <f>"叶秋余"</f>
        <v>叶秋余</v>
      </c>
      <c r="E902" s="4" t="str">
        <f t="shared" si="39"/>
        <v>女</v>
      </c>
    </row>
    <row r="903" spans="1:5" ht="30" customHeight="1">
      <c r="A903" s="4">
        <v>901</v>
      </c>
      <c r="B903" s="4" t="str">
        <f>"39712022060311054987821"</f>
        <v>39712022060311054987821</v>
      </c>
      <c r="C903" s="4" t="s">
        <v>23</v>
      </c>
      <c r="D903" s="4" t="str">
        <f>"符向东"</f>
        <v>符向东</v>
      </c>
      <c r="E903" s="4" t="str">
        <f t="shared" si="39"/>
        <v>女</v>
      </c>
    </row>
    <row r="904" spans="1:5" ht="30" customHeight="1">
      <c r="A904" s="4">
        <v>902</v>
      </c>
      <c r="B904" s="4" t="str">
        <f>"39712022060315263088070"</f>
        <v>39712022060315263088070</v>
      </c>
      <c r="C904" s="4" t="s">
        <v>23</v>
      </c>
      <c r="D904" s="4" t="str">
        <f>"朱龙聪"</f>
        <v>朱龙聪</v>
      </c>
      <c r="E904" s="4" t="str">
        <f t="shared" si="39"/>
        <v>女</v>
      </c>
    </row>
    <row r="905" spans="1:5" ht="30" customHeight="1">
      <c r="A905" s="4">
        <v>903</v>
      </c>
      <c r="B905" s="4" t="str">
        <f>"39712022060315465788090"</f>
        <v>39712022060315465788090</v>
      </c>
      <c r="C905" s="4" t="s">
        <v>23</v>
      </c>
      <c r="D905" s="4" t="str">
        <f>"潘柳蓉"</f>
        <v>潘柳蓉</v>
      </c>
      <c r="E905" s="4" t="str">
        <f t="shared" si="39"/>
        <v>女</v>
      </c>
    </row>
    <row r="906" spans="1:5" ht="30" customHeight="1">
      <c r="A906" s="4">
        <v>904</v>
      </c>
      <c r="B906" s="4" t="str">
        <f>"39712022060318034188220"</f>
        <v>39712022060318034188220</v>
      </c>
      <c r="C906" s="4" t="s">
        <v>23</v>
      </c>
      <c r="D906" s="4" t="str">
        <f>"吴小兰"</f>
        <v>吴小兰</v>
      </c>
      <c r="E906" s="4" t="str">
        <f t="shared" si="39"/>
        <v>女</v>
      </c>
    </row>
    <row r="907" spans="1:5" ht="30" customHeight="1">
      <c r="A907" s="4">
        <v>905</v>
      </c>
      <c r="B907" s="4" t="str">
        <f>"39712022060407480088588"</f>
        <v>39712022060407480088588</v>
      </c>
      <c r="C907" s="4" t="s">
        <v>23</v>
      </c>
      <c r="D907" s="4" t="str">
        <f>"王念秋"</f>
        <v>王念秋</v>
      </c>
      <c r="E907" s="4" t="str">
        <f t="shared" si="39"/>
        <v>女</v>
      </c>
    </row>
    <row r="908" spans="1:5" ht="30" customHeight="1">
      <c r="A908" s="4">
        <v>906</v>
      </c>
      <c r="B908" s="4" t="str">
        <f>"39712022060408511188619"</f>
        <v>39712022060408511188619</v>
      </c>
      <c r="C908" s="4" t="s">
        <v>23</v>
      </c>
      <c r="D908" s="4" t="str">
        <f>"吴锋"</f>
        <v>吴锋</v>
      </c>
      <c r="E908" s="4" t="str">
        <f>"男"</f>
        <v>男</v>
      </c>
    </row>
    <row r="909" spans="1:5" ht="30" customHeight="1">
      <c r="A909" s="4">
        <v>907</v>
      </c>
      <c r="B909" s="4" t="str">
        <f>"39712022060414364588975"</f>
        <v>39712022060414364588975</v>
      </c>
      <c r="C909" s="4" t="s">
        <v>23</v>
      </c>
      <c r="D909" s="4" t="str">
        <f>"钟丽玲"</f>
        <v>钟丽玲</v>
      </c>
      <c r="E909" s="4" t="str">
        <f>"女"</f>
        <v>女</v>
      </c>
    </row>
    <row r="910" spans="1:5" ht="30" customHeight="1">
      <c r="A910" s="4">
        <v>908</v>
      </c>
      <c r="B910" s="4" t="str">
        <f>"39712022060417201489148"</f>
        <v>39712022060417201489148</v>
      </c>
      <c r="C910" s="4" t="s">
        <v>23</v>
      </c>
      <c r="D910" s="4" t="str">
        <f>"黎昌柳"</f>
        <v>黎昌柳</v>
      </c>
      <c r="E910" s="4" t="str">
        <f>"女"</f>
        <v>女</v>
      </c>
    </row>
    <row r="911" spans="1:5" ht="30" customHeight="1">
      <c r="A911" s="4">
        <v>909</v>
      </c>
      <c r="B911" s="4" t="str">
        <f>"39712022060418232789206"</f>
        <v>39712022060418232789206</v>
      </c>
      <c r="C911" s="4" t="s">
        <v>23</v>
      </c>
      <c r="D911" s="4" t="str">
        <f>"王怡"</f>
        <v>王怡</v>
      </c>
      <c r="E911" s="4" t="str">
        <f>"女"</f>
        <v>女</v>
      </c>
    </row>
    <row r="912" spans="1:5" ht="30" customHeight="1">
      <c r="A912" s="4">
        <v>910</v>
      </c>
      <c r="B912" s="4" t="str">
        <f>"39712022060420061589305"</f>
        <v>39712022060420061589305</v>
      </c>
      <c r="C912" s="4" t="s">
        <v>23</v>
      </c>
      <c r="D912" s="4" t="str">
        <f>"唐小花"</f>
        <v>唐小花</v>
      </c>
      <c r="E912" s="4" t="str">
        <f>"女"</f>
        <v>女</v>
      </c>
    </row>
    <row r="913" spans="1:5" ht="30" customHeight="1">
      <c r="A913" s="4">
        <v>911</v>
      </c>
      <c r="B913" s="4" t="str">
        <f>"39712022060420565489355"</f>
        <v>39712022060420565489355</v>
      </c>
      <c r="C913" s="4" t="s">
        <v>23</v>
      </c>
      <c r="D913" s="4" t="str">
        <f>"王优"</f>
        <v>王优</v>
      </c>
      <c r="E913" s="4" t="str">
        <f>"男"</f>
        <v>男</v>
      </c>
    </row>
    <row r="914" spans="1:5" ht="30" customHeight="1">
      <c r="A914" s="4">
        <v>912</v>
      </c>
      <c r="B914" s="4" t="str">
        <f>"39712022060509481589698"</f>
        <v>39712022060509481589698</v>
      </c>
      <c r="C914" s="4" t="s">
        <v>23</v>
      </c>
      <c r="D914" s="4" t="str">
        <f>"任金辉"</f>
        <v>任金辉</v>
      </c>
      <c r="E914" s="4" t="str">
        <f aca="true" t="shared" si="40" ref="E914:E938">"女"</f>
        <v>女</v>
      </c>
    </row>
    <row r="915" spans="1:5" ht="30" customHeight="1">
      <c r="A915" s="4">
        <v>913</v>
      </c>
      <c r="B915" s="4" t="str">
        <f>"39712022060513154590033"</f>
        <v>39712022060513154590033</v>
      </c>
      <c r="C915" s="4" t="s">
        <v>23</v>
      </c>
      <c r="D915" s="4" t="str">
        <f>"文珍珍"</f>
        <v>文珍珍</v>
      </c>
      <c r="E915" s="4" t="str">
        <f t="shared" si="40"/>
        <v>女</v>
      </c>
    </row>
    <row r="916" spans="1:5" ht="30" customHeight="1">
      <c r="A916" s="4">
        <v>914</v>
      </c>
      <c r="B916" s="4" t="str">
        <f>"39712022060515372190199"</f>
        <v>39712022060515372190199</v>
      </c>
      <c r="C916" s="4" t="s">
        <v>23</v>
      </c>
      <c r="D916" s="4" t="str">
        <f>"陈云"</f>
        <v>陈云</v>
      </c>
      <c r="E916" s="4" t="str">
        <f t="shared" si="40"/>
        <v>女</v>
      </c>
    </row>
    <row r="917" spans="1:5" ht="30" customHeight="1">
      <c r="A917" s="4">
        <v>915</v>
      </c>
      <c r="B917" s="4" t="str">
        <f>"39712022060521445690791"</f>
        <v>39712022060521445690791</v>
      </c>
      <c r="C917" s="4" t="s">
        <v>23</v>
      </c>
      <c r="D917" s="4" t="str">
        <f>"王琤"</f>
        <v>王琤</v>
      </c>
      <c r="E917" s="4" t="str">
        <f t="shared" si="40"/>
        <v>女</v>
      </c>
    </row>
    <row r="918" spans="1:5" ht="30" customHeight="1">
      <c r="A918" s="4">
        <v>916</v>
      </c>
      <c r="B918" s="4" t="str">
        <f>"39712022060522400090886"</f>
        <v>39712022060522400090886</v>
      </c>
      <c r="C918" s="4" t="s">
        <v>23</v>
      </c>
      <c r="D918" s="4" t="str">
        <f>"李杏儿"</f>
        <v>李杏儿</v>
      </c>
      <c r="E918" s="4" t="str">
        <f t="shared" si="40"/>
        <v>女</v>
      </c>
    </row>
    <row r="919" spans="1:5" ht="30" customHeight="1">
      <c r="A919" s="4">
        <v>917</v>
      </c>
      <c r="B919" s="4" t="str">
        <f>"39712022060522565390907"</f>
        <v>39712022060522565390907</v>
      </c>
      <c r="C919" s="4" t="s">
        <v>23</v>
      </c>
      <c r="D919" s="4" t="str">
        <f>"周滢"</f>
        <v>周滢</v>
      </c>
      <c r="E919" s="4" t="str">
        <f t="shared" si="40"/>
        <v>女</v>
      </c>
    </row>
    <row r="920" spans="1:5" ht="30" customHeight="1">
      <c r="A920" s="4">
        <v>918</v>
      </c>
      <c r="B920" s="4" t="str">
        <f>"39712022060600124290987"</f>
        <v>39712022060600124290987</v>
      </c>
      <c r="C920" s="4" t="s">
        <v>23</v>
      </c>
      <c r="D920" s="4" t="str">
        <f>"冯才颜"</f>
        <v>冯才颜</v>
      </c>
      <c r="E920" s="4" t="str">
        <f t="shared" si="40"/>
        <v>女</v>
      </c>
    </row>
    <row r="921" spans="1:5" ht="30" customHeight="1">
      <c r="A921" s="4">
        <v>919</v>
      </c>
      <c r="B921" s="4" t="str">
        <f>"39712022060609503792916"</f>
        <v>39712022060609503792916</v>
      </c>
      <c r="C921" s="4" t="s">
        <v>23</v>
      </c>
      <c r="D921" s="4" t="str">
        <f>"卢意"</f>
        <v>卢意</v>
      </c>
      <c r="E921" s="4" t="str">
        <f t="shared" si="40"/>
        <v>女</v>
      </c>
    </row>
    <row r="922" spans="1:5" ht="30" customHeight="1">
      <c r="A922" s="4">
        <v>920</v>
      </c>
      <c r="B922" s="4" t="str">
        <f>"39712022060611525195539"</f>
        <v>39712022060611525195539</v>
      </c>
      <c r="C922" s="4" t="s">
        <v>23</v>
      </c>
      <c r="D922" s="4" t="str">
        <f>"麦春菊"</f>
        <v>麦春菊</v>
      </c>
      <c r="E922" s="4" t="str">
        <f t="shared" si="40"/>
        <v>女</v>
      </c>
    </row>
    <row r="923" spans="1:5" ht="30" customHeight="1">
      <c r="A923" s="4">
        <v>921</v>
      </c>
      <c r="B923" s="4" t="str">
        <f>"39712022060612570596306"</f>
        <v>39712022060612570596306</v>
      </c>
      <c r="C923" s="4" t="s">
        <v>23</v>
      </c>
      <c r="D923" s="4" t="str">
        <f>"梁春苗"</f>
        <v>梁春苗</v>
      </c>
      <c r="E923" s="4" t="str">
        <f t="shared" si="40"/>
        <v>女</v>
      </c>
    </row>
    <row r="924" spans="1:5" ht="30" customHeight="1">
      <c r="A924" s="4">
        <v>922</v>
      </c>
      <c r="B924" s="4" t="str">
        <f>"39712022060613003896345"</f>
        <v>39712022060613003896345</v>
      </c>
      <c r="C924" s="4" t="s">
        <v>23</v>
      </c>
      <c r="D924" s="4" t="str">
        <f>"张海虹"</f>
        <v>张海虹</v>
      </c>
      <c r="E924" s="4" t="str">
        <f t="shared" si="40"/>
        <v>女</v>
      </c>
    </row>
    <row r="925" spans="1:5" ht="30" customHeight="1">
      <c r="A925" s="4">
        <v>923</v>
      </c>
      <c r="B925" s="4" t="str">
        <f>"39712022060616012498335"</f>
        <v>39712022060616012498335</v>
      </c>
      <c r="C925" s="4" t="s">
        <v>23</v>
      </c>
      <c r="D925" s="4" t="str">
        <f>"赵丹彤"</f>
        <v>赵丹彤</v>
      </c>
      <c r="E925" s="4" t="str">
        <f t="shared" si="40"/>
        <v>女</v>
      </c>
    </row>
    <row r="926" spans="1:5" ht="30" customHeight="1">
      <c r="A926" s="4">
        <v>924</v>
      </c>
      <c r="B926" s="4" t="str">
        <f>"39712022060618362999972"</f>
        <v>39712022060618362999972</v>
      </c>
      <c r="C926" s="4" t="s">
        <v>23</v>
      </c>
      <c r="D926" s="4" t="str">
        <f>"许文雅"</f>
        <v>许文雅</v>
      </c>
      <c r="E926" s="4" t="str">
        <f t="shared" si="40"/>
        <v>女</v>
      </c>
    </row>
    <row r="927" spans="1:5" ht="30" customHeight="1">
      <c r="A927" s="4">
        <v>925</v>
      </c>
      <c r="B927" s="4" t="str">
        <f>"397120220606213713101410"</f>
        <v>397120220606213713101410</v>
      </c>
      <c r="C927" s="4" t="s">
        <v>23</v>
      </c>
      <c r="D927" s="4" t="str">
        <f>"符爱蓉"</f>
        <v>符爱蓉</v>
      </c>
      <c r="E927" s="4" t="str">
        <f t="shared" si="40"/>
        <v>女</v>
      </c>
    </row>
    <row r="928" spans="1:5" ht="30" customHeight="1">
      <c r="A928" s="4">
        <v>926</v>
      </c>
      <c r="B928" s="4" t="str">
        <f>"397120220607001647102439"</f>
        <v>397120220607001647102439</v>
      </c>
      <c r="C928" s="4" t="s">
        <v>23</v>
      </c>
      <c r="D928" s="4" t="str">
        <f>"高艳"</f>
        <v>高艳</v>
      </c>
      <c r="E928" s="4" t="str">
        <f t="shared" si="40"/>
        <v>女</v>
      </c>
    </row>
    <row r="929" spans="1:5" ht="30" customHeight="1">
      <c r="A929" s="4">
        <v>927</v>
      </c>
      <c r="B929" s="4" t="str">
        <f>"397120220607065633102591"</f>
        <v>397120220607065633102591</v>
      </c>
      <c r="C929" s="4" t="s">
        <v>23</v>
      </c>
      <c r="D929" s="4" t="str">
        <f>"王海娇"</f>
        <v>王海娇</v>
      </c>
      <c r="E929" s="4" t="str">
        <f t="shared" si="40"/>
        <v>女</v>
      </c>
    </row>
    <row r="930" spans="1:5" ht="30" customHeight="1">
      <c r="A930" s="4">
        <v>928</v>
      </c>
      <c r="B930" s="4" t="str">
        <f>"397120220607121708105564"</f>
        <v>397120220607121708105564</v>
      </c>
      <c r="C930" s="4" t="s">
        <v>23</v>
      </c>
      <c r="D930" s="4" t="str">
        <f>"赵彩霞"</f>
        <v>赵彩霞</v>
      </c>
      <c r="E930" s="4" t="str">
        <f t="shared" si="40"/>
        <v>女</v>
      </c>
    </row>
    <row r="931" spans="1:5" ht="30" customHeight="1">
      <c r="A931" s="4">
        <v>929</v>
      </c>
      <c r="B931" s="4" t="str">
        <f>"397120220607144912106635"</f>
        <v>397120220607144912106635</v>
      </c>
      <c r="C931" s="4" t="s">
        <v>23</v>
      </c>
      <c r="D931" s="4" t="str">
        <f>"曾怀慧"</f>
        <v>曾怀慧</v>
      </c>
      <c r="E931" s="4" t="str">
        <f t="shared" si="40"/>
        <v>女</v>
      </c>
    </row>
    <row r="932" spans="1:5" ht="30" customHeight="1">
      <c r="A932" s="4">
        <v>930</v>
      </c>
      <c r="B932" s="4" t="str">
        <f>"397120220607180804108530"</f>
        <v>397120220607180804108530</v>
      </c>
      <c r="C932" s="4" t="s">
        <v>23</v>
      </c>
      <c r="D932" s="4" t="str">
        <f>"王巧婷"</f>
        <v>王巧婷</v>
      </c>
      <c r="E932" s="4" t="str">
        <f t="shared" si="40"/>
        <v>女</v>
      </c>
    </row>
    <row r="933" spans="1:5" ht="30" customHeight="1">
      <c r="A933" s="4">
        <v>931</v>
      </c>
      <c r="B933" s="4" t="str">
        <f>"397120220607222525110218"</f>
        <v>397120220607222525110218</v>
      </c>
      <c r="C933" s="4" t="s">
        <v>23</v>
      </c>
      <c r="D933" s="4" t="str">
        <f>"李惠珠"</f>
        <v>李惠珠</v>
      </c>
      <c r="E933" s="4" t="str">
        <f t="shared" si="40"/>
        <v>女</v>
      </c>
    </row>
    <row r="934" spans="1:5" ht="30" customHeight="1">
      <c r="A934" s="4">
        <v>932</v>
      </c>
      <c r="B934" s="4" t="str">
        <f>"397120220608085516111168"</f>
        <v>397120220608085516111168</v>
      </c>
      <c r="C934" s="4" t="s">
        <v>23</v>
      </c>
      <c r="D934" s="4" t="str">
        <f>"李桂萍"</f>
        <v>李桂萍</v>
      </c>
      <c r="E934" s="4" t="str">
        <f t="shared" si="40"/>
        <v>女</v>
      </c>
    </row>
    <row r="935" spans="1:5" ht="30" customHeight="1">
      <c r="A935" s="4">
        <v>933</v>
      </c>
      <c r="B935" s="4" t="str">
        <f>"397120220608093529111490"</f>
        <v>397120220608093529111490</v>
      </c>
      <c r="C935" s="4" t="s">
        <v>23</v>
      </c>
      <c r="D935" s="4" t="str">
        <f>"龙莹"</f>
        <v>龙莹</v>
      </c>
      <c r="E935" s="4" t="str">
        <f t="shared" si="40"/>
        <v>女</v>
      </c>
    </row>
    <row r="936" spans="1:5" ht="30" customHeight="1">
      <c r="A936" s="4">
        <v>934</v>
      </c>
      <c r="B936" s="4" t="str">
        <f>"397120220608110020112236"</f>
        <v>397120220608110020112236</v>
      </c>
      <c r="C936" s="4" t="s">
        <v>23</v>
      </c>
      <c r="D936" s="4" t="str">
        <f>"洪蕾"</f>
        <v>洪蕾</v>
      </c>
      <c r="E936" s="4" t="str">
        <f t="shared" si="40"/>
        <v>女</v>
      </c>
    </row>
    <row r="937" spans="1:5" ht="30" customHeight="1">
      <c r="A937" s="4">
        <v>935</v>
      </c>
      <c r="B937" s="4" t="str">
        <f>"39712022060109141078304"</f>
        <v>39712022060109141078304</v>
      </c>
      <c r="C937" s="4" t="s">
        <v>24</v>
      </c>
      <c r="D937" s="4" t="str">
        <f>"张梓涵"</f>
        <v>张梓涵</v>
      </c>
      <c r="E937" s="4" t="str">
        <f t="shared" si="40"/>
        <v>女</v>
      </c>
    </row>
    <row r="938" spans="1:5" ht="30" customHeight="1">
      <c r="A938" s="4">
        <v>936</v>
      </c>
      <c r="B938" s="4" t="str">
        <f>"39712022060109251378414"</f>
        <v>39712022060109251378414</v>
      </c>
      <c r="C938" s="4" t="s">
        <v>24</v>
      </c>
      <c r="D938" s="4" t="str">
        <f>"王明玉"</f>
        <v>王明玉</v>
      </c>
      <c r="E938" s="4" t="str">
        <f t="shared" si="40"/>
        <v>女</v>
      </c>
    </row>
    <row r="939" spans="1:5" ht="30" customHeight="1">
      <c r="A939" s="4">
        <v>937</v>
      </c>
      <c r="B939" s="4" t="str">
        <f>"39712022060109251378416"</f>
        <v>39712022060109251378416</v>
      </c>
      <c r="C939" s="4" t="s">
        <v>24</v>
      </c>
      <c r="D939" s="4" t="str">
        <f>"苏广省"</f>
        <v>苏广省</v>
      </c>
      <c r="E939" s="4" t="str">
        <f>"男"</f>
        <v>男</v>
      </c>
    </row>
    <row r="940" spans="1:5" ht="30" customHeight="1">
      <c r="A940" s="4">
        <v>938</v>
      </c>
      <c r="B940" s="4" t="str">
        <f>"39712022060109280678437"</f>
        <v>39712022060109280678437</v>
      </c>
      <c r="C940" s="4" t="s">
        <v>24</v>
      </c>
      <c r="D940" s="4" t="str">
        <f>"徐千雯"</f>
        <v>徐千雯</v>
      </c>
      <c r="E940" s="4" t="str">
        <f aca="true" t="shared" si="41" ref="E940:E948">"女"</f>
        <v>女</v>
      </c>
    </row>
    <row r="941" spans="1:5" ht="30" customHeight="1">
      <c r="A941" s="4">
        <v>939</v>
      </c>
      <c r="B941" s="4" t="str">
        <f>"39712022060109321678474"</f>
        <v>39712022060109321678474</v>
      </c>
      <c r="C941" s="4" t="s">
        <v>24</v>
      </c>
      <c r="D941" s="4" t="str">
        <f>"梁旭阳"</f>
        <v>梁旭阳</v>
      </c>
      <c r="E941" s="4" t="str">
        <f t="shared" si="41"/>
        <v>女</v>
      </c>
    </row>
    <row r="942" spans="1:5" ht="30" customHeight="1">
      <c r="A942" s="4">
        <v>940</v>
      </c>
      <c r="B942" s="4" t="str">
        <f>"39712022060109381278522"</f>
        <v>39712022060109381278522</v>
      </c>
      <c r="C942" s="4" t="s">
        <v>24</v>
      </c>
      <c r="D942" s="4" t="str">
        <f>"陆林婷"</f>
        <v>陆林婷</v>
      </c>
      <c r="E942" s="4" t="str">
        <f t="shared" si="41"/>
        <v>女</v>
      </c>
    </row>
    <row r="943" spans="1:5" ht="30" customHeight="1">
      <c r="A943" s="4">
        <v>941</v>
      </c>
      <c r="B943" s="4" t="str">
        <f>"39712022060109501178629"</f>
        <v>39712022060109501178629</v>
      </c>
      <c r="C943" s="4" t="s">
        <v>24</v>
      </c>
      <c r="D943" s="4" t="str">
        <f>"董倩秀"</f>
        <v>董倩秀</v>
      </c>
      <c r="E943" s="4" t="str">
        <f t="shared" si="41"/>
        <v>女</v>
      </c>
    </row>
    <row r="944" spans="1:5" ht="30" customHeight="1">
      <c r="A944" s="4">
        <v>942</v>
      </c>
      <c r="B944" s="4" t="str">
        <f>"39712022060109551078669"</f>
        <v>39712022060109551078669</v>
      </c>
      <c r="C944" s="4" t="s">
        <v>24</v>
      </c>
      <c r="D944" s="4" t="str">
        <f>"阳娟"</f>
        <v>阳娟</v>
      </c>
      <c r="E944" s="4" t="str">
        <f t="shared" si="41"/>
        <v>女</v>
      </c>
    </row>
    <row r="945" spans="1:5" ht="30" customHeight="1">
      <c r="A945" s="4">
        <v>943</v>
      </c>
      <c r="B945" s="4" t="str">
        <f>"39712022060110074478775"</f>
        <v>39712022060110074478775</v>
      </c>
      <c r="C945" s="4" t="s">
        <v>24</v>
      </c>
      <c r="D945" s="4" t="str">
        <f>"王梦楠"</f>
        <v>王梦楠</v>
      </c>
      <c r="E945" s="4" t="str">
        <f t="shared" si="41"/>
        <v>女</v>
      </c>
    </row>
    <row r="946" spans="1:5" ht="30" customHeight="1">
      <c r="A946" s="4">
        <v>944</v>
      </c>
      <c r="B946" s="4" t="str">
        <f>"39712022060110380179018"</f>
        <v>39712022060110380179018</v>
      </c>
      <c r="C946" s="4" t="s">
        <v>24</v>
      </c>
      <c r="D946" s="4" t="str">
        <f>"李青月"</f>
        <v>李青月</v>
      </c>
      <c r="E946" s="4" t="str">
        <f t="shared" si="41"/>
        <v>女</v>
      </c>
    </row>
    <row r="947" spans="1:5" ht="30" customHeight="1">
      <c r="A947" s="4">
        <v>945</v>
      </c>
      <c r="B947" s="4" t="str">
        <f>"39712022060110495279114"</f>
        <v>39712022060110495279114</v>
      </c>
      <c r="C947" s="4" t="s">
        <v>24</v>
      </c>
      <c r="D947" s="4" t="str">
        <f>"陈雪"</f>
        <v>陈雪</v>
      </c>
      <c r="E947" s="4" t="str">
        <f t="shared" si="41"/>
        <v>女</v>
      </c>
    </row>
    <row r="948" spans="1:5" ht="30" customHeight="1">
      <c r="A948" s="4">
        <v>946</v>
      </c>
      <c r="B948" s="4" t="str">
        <f>"39712022060111025079213"</f>
        <v>39712022060111025079213</v>
      </c>
      <c r="C948" s="4" t="s">
        <v>24</v>
      </c>
      <c r="D948" s="4" t="str">
        <f>"梁艳"</f>
        <v>梁艳</v>
      </c>
      <c r="E948" s="4" t="str">
        <f t="shared" si="41"/>
        <v>女</v>
      </c>
    </row>
    <row r="949" spans="1:5" ht="30" customHeight="1">
      <c r="A949" s="4">
        <v>947</v>
      </c>
      <c r="B949" s="4" t="str">
        <f>"39712022060111551479574"</f>
        <v>39712022060111551479574</v>
      </c>
      <c r="C949" s="4" t="s">
        <v>24</v>
      </c>
      <c r="D949" s="4" t="str">
        <f>"王镛"</f>
        <v>王镛</v>
      </c>
      <c r="E949" s="4" t="str">
        <f>"男"</f>
        <v>男</v>
      </c>
    </row>
    <row r="950" spans="1:5" ht="30" customHeight="1">
      <c r="A950" s="4">
        <v>948</v>
      </c>
      <c r="B950" s="4" t="str">
        <f>"39712022060112113279659"</f>
        <v>39712022060112113279659</v>
      </c>
      <c r="C950" s="4" t="s">
        <v>24</v>
      </c>
      <c r="D950" s="4" t="str">
        <f>"邓茵"</f>
        <v>邓茵</v>
      </c>
      <c r="E950" s="4" t="str">
        <f>"女"</f>
        <v>女</v>
      </c>
    </row>
    <row r="951" spans="1:5" ht="30" customHeight="1">
      <c r="A951" s="4">
        <v>949</v>
      </c>
      <c r="B951" s="4" t="str">
        <f>"39712022060112283179743"</f>
        <v>39712022060112283179743</v>
      </c>
      <c r="C951" s="4" t="s">
        <v>24</v>
      </c>
      <c r="D951" s="4" t="str">
        <f>"武彩"</f>
        <v>武彩</v>
      </c>
      <c r="E951" s="4" t="str">
        <f>"女"</f>
        <v>女</v>
      </c>
    </row>
    <row r="952" spans="1:5" ht="30" customHeight="1">
      <c r="A952" s="4">
        <v>950</v>
      </c>
      <c r="B952" s="4" t="str">
        <f>"39712022060112561779896"</f>
        <v>39712022060112561779896</v>
      </c>
      <c r="C952" s="4" t="s">
        <v>24</v>
      </c>
      <c r="D952" s="4" t="str">
        <f>"王嘉瑜"</f>
        <v>王嘉瑜</v>
      </c>
      <c r="E952" s="4" t="str">
        <f>"女"</f>
        <v>女</v>
      </c>
    </row>
    <row r="953" spans="1:5" ht="30" customHeight="1">
      <c r="A953" s="4">
        <v>951</v>
      </c>
      <c r="B953" s="4" t="str">
        <f>"39712022060113001879919"</f>
        <v>39712022060113001879919</v>
      </c>
      <c r="C953" s="4" t="s">
        <v>24</v>
      </c>
      <c r="D953" s="4" t="str">
        <f>"谢广秀"</f>
        <v>谢广秀</v>
      </c>
      <c r="E953" s="4" t="str">
        <f>"女"</f>
        <v>女</v>
      </c>
    </row>
    <row r="954" spans="1:5" ht="30" customHeight="1">
      <c r="A954" s="4">
        <v>952</v>
      </c>
      <c r="B954" s="4" t="str">
        <f>"39712022060113113279974"</f>
        <v>39712022060113113279974</v>
      </c>
      <c r="C954" s="4" t="s">
        <v>24</v>
      </c>
      <c r="D954" s="4" t="str">
        <f>"苏圆"</f>
        <v>苏圆</v>
      </c>
      <c r="E954" s="4" t="str">
        <f>"女"</f>
        <v>女</v>
      </c>
    </row>
    <row r="955" spans="1:5" ht="30" customHeight="1">
      <c r="A955" s="4">
        <v>953</v>
      </c>
      <c r="B955" s="4" t="str">
        <f>"39712022060113225780026"</f>
        <v>39712022060113225780026</v>
      </c>
      <c r="C955" s="4" t="s">
        <v>24</v>
      </c>
      <c r="D955" s="4" t="str">
        <f>"莫骄"</f>
        <v>莫骄</v>
      </c>
      <c r="E955" s="4" t="str">
        <f>"男"</f>
        <v>男</v>
      </c>
    </row>
    <row r="956" spans="1:5" ht="30" customHeight="1">
      <c r="A956" s="4">
        <v>954</v>
      </c>
      <c r="B956" s="4" t="str">
        <f>"39712022060114375180315"</f>
        <v>39712022060114375180315</v>
      </c>
      <c r="C956" s="4" t="s">
        <v>24</v>
      </c>
      <c r="D956" s="4" t="str">
        <f>"吴南燕"</f>
        <v>吴南燕</v>
      </c>
      <c r="E956" s="4" t="str">
        <f>"女"</f>
        <v>女</v>
      </c>
    </row>
    <row r="957" spans="1:5" ht="30" customHeight="1">
      <c r="A957" s="4">
        <v>955</v>
      </c>
      <c r="B957" s="4" t="str">
        <f>"39712022060114534480396"</f>
        <v>39712022060114534480396</v>
      </c>
      <c r="C957" s="4" t="s">
        <v>24</v>
      </c>
      <c r="D957" s="4" t="str">
        <f>"李芳良"</f>
        <v>李芳良</v>
      </c>
      <c r="E957" s="4" t="str">
        <f>"女"</f>
        <v>女</v>
      </c>
    </row>
    <row r="958" spans="1:5" ht="30" customHeight="1">
      <c r="A958" s="4">
        <v>956</v>
      </c>
      <c r="B958" s="4" t="str">
        <f>"39712022060115120780493"</f>
        <v>39712022060115120780493</v>
      </c>
      <c r="C958" s="4" t="s">
        <v>24</v>
      </c>
      <c r="D958" s="4" t="str">
        <f>"谢淑婷"</f>
        <v>谢淑婷</v>
      </c>
      <c r="E958" s="4" t="str">
        <f>"女"</f>
        <v>女</v>
      </c>
    </row>
    <row r="959" spans="1:5" ht="30" customHeight="1">
      <c r="A959" s="4">
        <v>957</v>
      </c>
      <c r="B959" s="4" t="str">
        <f>"39712022060115362280650"</f>
        <v>39712022060115362280650</v>
      </c>
      <c r="C959" s="4" t="s">
        <v>24</v>
      </c>
      <c r="D959" s="4" t="str">
        <f>"吴锡贵"</f>
        <v>吴锡贵</v>
      </c>
      <c r="E959" s="4" t="str">
        <f>"男"</f>
        <v>男</v>
      </c>
    </row>
    <row r="960" spans="1:5" ht="30" customHeight="1">
      <c r="A960" s="4">
        <v>958</v>
      </c>
      <c r="B960" s="4" t="str">
        <f>"39712022060116032480806"</f>
        <v>39712022060116032480806</v>
      </c>
      <c r="C960" s="4" t="s">
        <v>24</v>
      </c>
      <c r="D960" s="4" t="str">
        <f>"林秀雨"</f>
        <v>林秀雨</v>
      </c>
      <c r="E960" s="4" t="str">
        <f>"女"</f>
        <v>女</v>
      </c>
    </row>
    <row r="961" spans="1:5" ht="30" customHeight="1">
      <c r="A961" s="4">
        <v>959</v>
      </c>
      <c r="B961" s="4" t="str">
        <f>"39712022060116200980913"</f>
        <v>39712022060116200980913</v>
      </c>
      <c r="C961" s="4" t="s">
        <v>24</v>
      </c>
      <c r="D961" s="4" t="str">
        <f>"朱娇"</f>
        <v>朱娇</v>
      </c>
      <c r="E961" s="4" t="str">
        <f>"女"</f>
        <v>女</v>
      </c>
    </row>
    <row r="962" spans="1:5" ht="30" customHeight="1">
      <c r="A962" s="4">
        <v>960</v>
      </c>
      <c r="B962" s="4" t="str">
        <f>"39712022060117303181313"</f>
        <v>39712022060117303181313</v>
      </c>
      <c r="C962" s="4" t="s">
        <v>24</v>
      </c>
      <c r="D962" s="4" t="str">
        <f>"陈淑怡"</f>
        <v>陈淑怡</v>
      </c>
      <c r="E962" s="4" t="str">
        <f>"女"</f>
        <v>女</v>
      </c>
    </row>
    <row r="963" spans="1:5" ht="30" customHeight="1">
      <c r="A963" s="4">
        <v>961</v>
      </c>
      <c r="B963" s="4" t="str">
        <f>"39712022060118163881526"</f>
        <v>39712022060118163881526</v>
      </c>
      <c r="C963" s="4" t="s">
        <v>24</v>
      </c>
      <c r="D963" s="4" t="str">
        <f>"蔡佩"</f>
        <v>蔡佩</v>
      </c>
      <c r="E963" s="4" t="str">
        <f>"女"</f>
        <v>女</v>
      </c>
    </row>
    <row r="964" spans="1:5" ht="30" customHeight="1">
      <c r="A964" s="4">
        <v>962</v>
      </c>
      <c r="B964" s="4" t="str">
        <f>"39712022060118343381606"</f>
        <v>39712022060118343381606</v>
      </c>
      <c r="C964" s="4" t="s">
        <v>24</v>
      </c>
      <c r="D964" s="4" t="str">
        <f>"洪祥琪"</f>
        <v>洪祥琪</v>
      </c>
      <c r="E964" s="4" t="str">
        <f>"男"</f>
        <v>男</v>
      </c>
    </row>
    <row r="965" spans="1:5" ht="30" customHeight="1">
      <c r="A965" s="4">
        <v>963</v>
      </c>
      <c r="B965" s="4" t="str">
        <f>"39712022060118575181694"</f>
        <v>39712022060118575181694</v>
      </c>
      <c r="C965" s="4" t="s">
        <v>24</v>
      </c>
      <c r="D965" s="4" t="str">
        <f>"樊烟静"</f>
        <v>樊烟静</v>
      </c>
      <c r="E965" s="4" t="str">
        <f aca="true" t="shared" si="42" ref="E965:E971">"女"</f>
        <v>女</v>
      </c>
    </row>
    <row r="966" spans="1:5" ht="30" customHeight="1">
      <c r="A966" s="4">
        <v>964</v>
      </c>
      <c r="B966" s="4" t="str">
        <f>"39712022060119212681789"</f>
        <v>39712022060119212681789</v>
      </c>
      <c r="C966" s="4" t="s">
        <v>24</v>
      </c>
      <c r="D966" s="4" t="str">
        <f>"林雅琪"</f>
        <v>林雅琪</v>
      </c>
      <c r="E966" s="4" t="str">
        <f t="shared" si="42"/>
        <v>女</v>
      </c>
    </row>
    <row r="967" spans="1:5" ht="30" customHeight="1">
      <c r="A967" s="4">
        <v>965</v>
      </c>
      <c r="B967" s="4" t="str">
        <f>"39712022060119301181824"</f>
        <v>39712022060119301181824</v>
      </c>
      <c r="C967" s="4" t="s">
        <v>24</v>
      </c>
      <c r="D967" s="4" t="str">
        <f>"符丽娟"</f>
        <v>符丽娟</v>
      </c>
      <c r="E967" s="4" t="str">
        <f t="shared" si="42"/>
        <v>女</v>
      </c>
    </row>
    <row r="968" spans="1:5" ht="30" customHeight="1">
      <c r="A968" s="4">
        <v>966</v>
      </c>
      <c r="B968" s="4" t="str">
        <f>"39712022060120192682034"</f>
        <v>39712022060120192682034</v>
      </c>
      <c r="C968" s="4" t="s">
        <v>24</v>
      </c>
      <c r="D968" s="4" t="str">
        <f>"黄 敏"</f>
        <v>黄 敏</v>
      </c>
      <c r="E968" s="4" t="str">
        <f t="shared" si="42"/>
        <v>女</v>
      </c>
    </row>
    <row r="969" spans="1:5" ht="30" customHeight="1">
      <c r="A969" s="4">
        <v>967</v>
      </c>
      <c r="B969" s="4" t="str">
        <f>"39712022060120200182037"</f>
        <v>39712022060120200182037</v>
      </c>
      <c r="C969" s="4" t="s">
        <v>24</v>
      </c>
      <c r="D969" s="4" t="str">
        <f>"丁鑫"</f>
        <v>丁鑫</v>
      </c>
      <c r="E969" s="4" t="str">
        <f t="shared" si="42"/>
        <v>女</v>
      </c>
    </row>
    <row r="970" spans="1:5" ht="30" customHeight="1">
      <c r="A970" s="4">
        <v>968</v>
      </c>
      <c r="B970" s="4" t="str">
        <f>"39712022060121000682227"</f>
        <v>39712022060121000682227</v>
      </c>
      <c r="C970" s="4" t="s">
        <v>24</v>
      </c>
      <c r="D970" s="4" t="str">
        <f>"邓娇艳"</f>
        <v>邓娇艳</v>
      </c>
      <c r="E970" s="4" t="str">
        <f t="shared" si="42"/>
        <v>女</v>
      </c>
    </row>
    <row r="971" spans="1:5" ht="30" customHeight="1">
      <c r="A971" s="4">
        <v>969</v>
      </c>
      <c r="B971" s="4" t="str">
        <f>"39712022060121162882305"</f>
        <v>39712022060121162882305</v>
      </c>
      <c r="C971" s="4" t="s">
        <v>24</v>
      </c>
      <c r="D971" s="4" t="str">
        <f>"姚媛"</f>
        <v>姚媛</v>
      </c>
      <c r="E971" s="4" t="str">
        <f t="shared" si="42"/>
        <v>女</v>
      </c>
    </row>
    <row r="972" spans="1:5" ht="30" customHeight="1">
      <c r="A972" s="4">
        <v>970</v>
      </c>
      <c r="B972" s="4" t="str">
        <f>"39712022060121194782325"</f>
        <v>39712022060121194782325</v>
      </c>
      <c r="C972" s="4" t="s">
        <v>24</v>
      </c>
      <c r="D972" s="4" t="str">
        <f>"符启凡"</f>
        <v>符启凡</v>
      </c>
      <c r="E972" s="4" t="str">
        <f>"男"</f>
        <v>男</v>
      </c>
    </row>
    <row r="973" spans="1:5" ht="30" customHeight="1">
      <c r="A973" s="4">
        <v>971</v>
      </c>
      <c r="B973" s="4" t="str">
        <f>"39712022060121384582432"</f>
        <v>39712022060121384582432</v>
      </c>
      <c r="C973" s="4" t="s">
        <v>24</v>
      </c>
      <c r="D973" s="4" t="str">
        <f>"苏泓"</f>
        <v>苏泓</v>
      </c>
      <c r="E973" s="4" t="str">
        <f>"女"</f>
        <v>女</v>
      </c>
    </row>
    <row r="974" spans="1:5" ht="30" customHeight="1">
      <c r="A974" s="4">
        <v>972</v>
      </c>
      <c r="B974" s="4" t="str">
        <f>"39712022060122074382597"</f>
        <v>39712022060122074382597</v>
      </c>
      <c r="C974" s="4" t="s">
        <v>24</v>
      </c>
      <c r="D974" s="4" t="str">
        <f>"陈晓倩"</f>
        <v>陈晓倩</v>
      </c>
      <c r="E974" s="4" t="str">
        <f>"女"</f>
        <v>女</v>
      </c>
    </row>
    <row r="975" spans="1:5" ht="30" customHeight="1">
      <c r="A975" s="4">
        <v>973</v>
      </c>
      <c r="B975" s="4" t="str">
        <f>"39712022060122375182763"</f>
        <v>39712022060122375182763</v>
      </c>
      <c r="C975" s="4" t="s">
        <v>24</v>
      </c>
      <c r="D975" s="4" t="str">
        <f>"曾效香"</f>
        <v>曾效香</v>
      </c>
      <c r="E975" s="4" t="str">
        <f>"女"</f>
        <v>女</v>
      </c>
    </row>
    <row r="976" spans="1:5" ht="30" customHeight="1">
      <c r="A976" s="4">
        <v>974</v>
      </c>
      <c r="B976" s="4" t="str">
        <f>"39712022060122505882819"</f>
        <v>39712022060122505882819</v>
      </c>
      <c r="C976" s="4" t="s">
        <v>24</v>
      </c>
      <c r="D976" s="4" t="str">
        <f>"张文燕"</f>
        <v>张文燕</v>
      </c>
      <c r="E976" s="4" t="str">
        <f>"女"</f>
        <v>女</v>
      </c>
    </row>
    <row r="977" spans="1:5" ht="30" customHeight="1">
      <c r="A977" s="4">
        <v>975</v>
      </c>
      <c r="B977" s="4" t="str">
        <f>"39712022060200011583043"</f>
        <v>39712022060200011583043</v>
      </c>
      <c r="C977" s="4" t="s">
        <v>24</v>
      </c>
      <c r="D977" s="4" t="str">
        <f>"吴源权"</f>
        <v>吴源权</v>
      </c>
      <c r="E977" s="4" t="str">
        <f>"男"</f>
        <v>男</v>
      </c>
    </row>
    <row r="978" spans="1:5" ht="30" customHeight="1">
      <c r="A978" s="4">
        <v>976</v>
      </c>
      <c r="B978" s="4" t="str">
        <f>"39712022060200511483112"</f>
        <v>39712022060200511483112</v>
      </c>
      <c r="C978" s="4" t="s">
        <v>24</v>
      </c>
      <c r="D978" s="4" t="str">
        <f>"范子柔"</f>
        <v>范子柔</v>
      </c>
      <c r="E978" s="4" t="str">
        <f>"女"</f>
        <v>女</v>
      </c>
    </row>
    <row r="979" spans="1:5" ht="30" customHeight="1">
      <c r="A979" s="4">
        <v>977</v>
      </c>
      <c r="B979" s="4" t="str">
        <f>"39712022060201050383118"</f>
        <v>39712022060201050383118</v>
      </c>
      <c r="C979" s="4" t="s">
        <v>24</v>
      </c>
      <c r="D979" s="4" t="str">
        <f>"云晓惠"</f>
        <v>云晓惠</v>
      </c>
      <c r="E979" s="4" t="str">
        <f>"女"</f>
        <v>女</v>
      </c>
    </row>
    <row r="980" spans="1:5" ht="30" customHeight="1">
      <c r="A980" s="4">
        <v>978</v>
      </c>
      <c r="B980" s="4" t="str">
        <f>"39712022060208282683317"</f>
        <v>39712022060208282683317</v>
      </c>
      <c r="C980" s="4" t="s">
        <v>24</v>
      </c>
      <c r="D980" s="4" t="str">
        <f>"张姝"</f>
        <v>张姝</v>
      </c>
      <c r="E980" s="4" t="str">
        <f>"女"</f>
        <v>女</v>
      </c>
    </row>
    <row r="981" spans="1:5" ht="30" customHeight="1">
      <c r="A981" s="4">
        <v>979</v>
      </c>
      <c r="B981" s="4" t="str">
        <f>"39712022060208355783366"</f>
        <v>39712022060208355783366</v>
      </c>
      <c r="C981" s="4" t="s">
        <v>24</v>
      </c>
      <c r="D981" s="4" t="str">
        <f>"吴倩娇"</f>
        <v>吴倩娇</v>
      </c>
      <c r="E981" s="4" t="str">
        <f>"女"</f>
        <v>女</v>
      </c>
    </row>
    <row r="982" spans="1:5" ht="30" customHeight="1">
      <c r="A982" s="4">
        <v>980</v>
      </c>
      <c r="B982" s="4" t="str">
        <f>"39712022060209015183507"</f>
        <v>39712022060209015183507</v>
      </c>
      <c r="C982" s="4" t="s">
        <v>24</v>
      </c>
      <c r="D982" s="4" t="str">
        <f>"刘睿笑"</f>
        <v>刘睿笑</v>
      </c>
      <c r="E982" s="4" t="str">
        <f>"女"</f>
        <v>女</v>
      </c>
    </row>
    <row r="983" spans="1:5" ht="30" customHeight="1">
      <c r="A983" s="4">
        <v>981</v>
      </c>
      <c r="B983" s="4" t="str">
        <f>"39712022060209085383574"</f>
        <v>39712022060209085383574</v>
      </c>
      <c r="C983" s="4" t="s">
        <v>24</v>
      </c>
      <c r="D983" s="4" t="str">
        <f>"吉家岛"</f>
        <v>吉家岛</v>
      </c>
      <c r="E983" s="4" t="str">
        <f>"男"</f>
        <v>男</v>
      </c>
    </row>
    <row r="984" spans="1:5" ht="30" customHeight="1">
      <c r="A984" s="4">
        <v>982</v>
      </c>
      <c r="B984" s="4" t="str">
        <f>"39712022060209195583652"</f>
        <v>39712022060209195583652</v>
      </c>
      <c r="C984" s="4" t="s">
        <v>24</v>
      </c>
      <c r="D984" s="4" t="str">
        <f>"高睿玉"</f>
        <v>高睿玉</v>
      </c>
      <c r="E984" s="4" t="str">
        <f aca="true" t="shared" si="43" ref="E984:E994">"女"</f>
        <v>女</v>
      </c>
    </row>
    <row r="985" spans="1:5" ht="30" customHeight="1">
      <c r="A985" s="4">
        <v>983</v>
      </c>
      <c r="B985" s="4" t="str">
        <f>"39712022060209230383677"</f>
        <v>39712022060209230383677</v>
      </c>
      <c r="C985" s="4" t="s">
        <v>24</v>
      </c>
      <c r="D985" s="4" t="str">
        <f>"杨慧妍"</f>
        <v>杨慧妍</v>
      </c>
      <c r="E985" s="4" t="str">
        <f t="shared" si="43"/>
        <v>女</v>
      </c>
    </row>
    <row r="986" spans="1:5" ht="30" customHeight="1">
      <c r="A986" s="4">
        <v>984</v>
      </c>
      <c r="B986" s="4" t="str">
        <f>"39712022060209434483832"</f>
        <v>39712022060209434483832</v>
      </c>
      <c r="C986" s="4" t="s">
        <v>24</v>
      </c>
      <c r="D986" s="4" t="str">
        <f>"吴世坤"</f>
        <v>吴世坤</v>
      </c>
      <c r="E986" s="4" t="str">
        <f t="shared" si="43"/>
        <v>女</v>
      </c>
    </row>
    <row r="987" spans="1:5" ht="30" customHeight="1">
      <c r="A987" s="4">
        <v>985</v>
      </c>
      <c r="B987" s="4" t="str">
        <f>"39712022060209545683918"</f>
        <v>39712022060209545683918</v>
      </c>
      <c r="C987" s="4" t="s">
        <v>24</v>
      </c>
      <c r="D987" s="4" t="str">
        <f>"陈曼玉"</f>
        <v>陈曼玉</v>
      </c>
      <c r="E987" s="4" t="str">
        <f t="shared" si="43"/>
        <v>女</v>
      </c>
    </row>
    <row r="988" spans="1:5" ht="30" customHeight="1">
      <c r="A988" s="4">
        <v>986</v>
      </c>
      <c r="B988" s="4" t="str">
        <f>"39712022060210145284054"</f>
        <v>39712022060210145284054</v>
      </c>
      <c r="C988" s="4" t="s">
        <v>24</v>
      </c>
      <c r="D988" s="4" t="str">
        <f>"卢佳宁"</f>
        <v>卢佳宁</v>
      </c>
      <c r="E988" s="4" t="str">
        <f t="shared" si="43"/>
        <v>女</v>
      </c>
    </row>
    <row r="989" spans="1:5" ht="30" customHeight="1">
      <c r="A989" s="4">
        <v>987</v>
      </c>
      <c r="B989" s="4" t="str">
        <f>"39712022060210565084381"</f>
        <v>39712022060210565084381</v>
      </c>
      <c r="C989" s="4" t="s">
        <v>24</v>
      </c>
      <c r="D989" s="4" t="str">
        <f>"王文静"</f>
        <v>王文静</v>
      </c>
      <c r="E989" s="4" t="str">
        <f t="shared" si="43"/>
        <v>女</v>
      </c>
    </row>
    <row r="990" spans="1:5" ht="30" customHeight="1">
      <c r="A990" s="4">
        <v>988</v>
      </c>
      <c r="B990" s="4" t="str">
        <f>"39712022060211262284584"</f>
        <v>39712022060211262284584</v>
      </c>
      <c r="C990" s="4" t="s">
        <v>24</v>
      </c>
      <c r="D990" s="4" t="str">
        <f>"吴玉红"</f>
        <v>吴玉红</v>
      </c>
      <c r="E990" s="4" t="str">
        <f t="shared" si="43"/>
        <v>女</v>
      </c>
    </row>
    <row r="991" spans="1:5" ht="30" customHeight="1">
      <c r="A991" s="4">
        <v>989</v>
      </c>
      <c r="B991" s="4" t="str">
        <f>"39712022060212054184792"</f>
        <v>39712022060212054184792</v>
      </c>
      <c r="C991" s="4" t="s">
        <v>24</v>
      </c>
      <c r="D991" s="4" t="str">
        <f>"符蔚珍"</f>
        <v>符蔚珍</v>
      </c>
      <c r="E991" s="4" t="str">
        <f t="shared" si="43"/>
        <v>女</v>
      </c>
    </row>
    <row r="992" spans="1:5" ht="30" customHeight="1">
      <c r="A992" s="4">
        <v>990</v>
      </c>
      <c r="B992" s="4" t="str">
        <f>"39712022060212363584977"</f>
        <v>39712022060212363584977</v>
      </c>
      <c r="C992" s="4" t="s">
        <v>24</v>
      </c>
      <c r="D992" s="4" t="str">
        <f>"许樱潇"</f>
        <v>许樱潇</v>
      </c>
      <c r="E992" s="4" t="str">
        <f t="shared" si="43"/>
        <v>女</v>
      </c>
    </row>
    <row r="993" spans="1:5" ht="30" customHeight="1">
      <c r="A993" s="4">
        <v>991</v>
      </c>
      <c r="B993" s="4" t="str">
        <f>"39712022060212425685014"</f>
        <v>39712022060212425685014</v>
      </c>
      <c r="C993" s="4" t="s">
        <v>24</v>
      </c>
      <c r="D993" s="4" t="str">
        <f>"汪静"</f>
        <v>汪静</v>
      </c>
      <c r="E993" s="4" t="str">
        <f t="shared" si="43"/>
        <v>女</v>
      </c>
    </row>
    <row r="994" spans="1:5" ht="30" customHeight="1">
      <c r="A994" s="4">
        <v>992</v>
      </c>
      <c r="B994" s="4" t="str">
        <f>"39712022060213450785322"</f>
        <v>39712022060213450785322</v>
      </c>
      <c r="C994" s="4" t="s">
        <v>24</v>
      </c>
      <c r="D994" s="4" t="str">
        <f>"王海闻"</f>
        <v>王海闻</v>
      </c>
      <c r="E994" s="4" t="str">
        <f t="shared" si="43"/>
        <v>女</v>
      </c>
    </row>
    <row r="995" spans="1:5" ht="30" customHeight="1">
      <c r="A995" s="4">
        <v>993</v>
      </c>
      <c r="B995" s="4" t="str">
        <f>"39712022060214480185578"</f>
        <v>39712022060214480185578</v>
      </c>
      <c r="C995" s="4" t="s">
        <v>24</v>
      </c>
      <c r="D995" s="4" t="str">
        <f>"杨锦桦"</f>
        <v>杨锦桦</v>
      </c>
      <c r="E995" s="4" t="str">
        <f>"男"</f>
        <v>男</v>
      </c>
    </row>
    <row r="996" spans="1:5" ht="30" customHeight="1">
      <c r="A996" s="4">
        <v>994</v>
      </c>
      <c r="B996" s="4" t="str">
        <f>"39712022060215275285824"</f>
        <v>39712022060215275285824</v>
      </c>
      <c r="C996" s="4" t="s">
        <v>24</v>
      </c>
      <c r="D996" s="4" t="str">
        <f>"吴羡姬"</f>
        <v>吴羡姬</v>
      </c>
      <c r="E996" s="4" t="str">
        <f>"女"</f>
        <v>女</v>
      </c>
    </row>
    <row r="997" spans="1:5" ht="30" customHeight="1">
      <c r="A997" s="4">
        <v>995</v>
      </c>
      <c r="B997" s="4" t="str">
        <f>"39712022060216203686135"</f>
        <v>39712022060216203686135</v>
      </c>
      <c r="C997" s="4" t="s">
        <v>24</v>
      </c>
      <c r="D997" s="4" t="str">
        <f>"董挺玉"</f>
        <v>董挺玉</v>
      </c>
      <c r="E997" s="4" t="str">
        <f>"女"</f>
        <v>女</v>
      </c>
    </row>
    <row r="998" spans="1:5" ht="30" customHeight="1">
      <c r="A998" s="4">
        <v>996</v>
      </c>
      <c r="B998" s="4" t="str">
        <f>"39712022060217191286402"</f>
        <v>39712022060217191286402</v>
      </c>
      <c r="C998" s="4" t="s">
        <v>24</v>
      </c>
      <c r="D998" s="4" t="str">
        <f>"周姝彤"</f>
        <v>周姝彤</v>
      </c>
      <c r="E998" s="4" t="str">
        <f>"女"</f>
        <v>女</v>
      </c>
    </row>
    <row r="999" spans="1:5" ht="30" customHeight="1">
      <c r="A999" s="4">
        <v>997</v>
      </c>
      <c r="B999" s="4" t="str">
        <f>"39712022060217273586449"</f>
        <v>39712022060217273586449</v>
      </c>
      <c r="C999" s="4" t="s">
        <v>24</v>
      </c>
      <c r="D999" s="4" t="str">
        <f>"王啸瑜"</f>
        <v>王啸瑜</v>
      </c>
      <c r="E999" s="4" t="str">
        <f>"女"</f>
        <v>女</v>
      </c>
    </row>
    <row r="1000" spans="1:5" ht="30" customHeight="1">
      <c r="A1000" s="4">
        <v>998</v>
      </c>
      <c r="B1000" s="4" t="str">
        <f>"39712022060217574386566"</f>
        <v>39712022060217574386566</v>
      </c>
      <c r="C1000" s="4" t="s">
        <v>24</v>
      </c>
      <c r="D1000" s="4" t="str">
        <f>"孙紫安"</f>
        <v>孙紫安</v>
      </c>
      <c r="E1000" s="4" t="str">
        <f>"女"</f>
        <v>女</v>
      </c>
    </row>
    <row r="1001" spans="1:5" ht="30" customHeight="1">
      <c r="A1001" s="4">
        <v>999</v>
      </c>
      <c r="B1001" s="4" t="str">
        <f>"39712022060218014786584"</f>
        <v>39712022060218014786584</v>
      </c>
      <c r="C1001" s="4" t="s">
        <v>24</v>
      </c>
      <c r="D1001" s="4" t="str">
        <f>"黄镜名"</f>
        <v>黄镜名</v>
      </c>
      <c r="E1001" s="4" t="str">
        <f>"男"</f>
        <v>男</v>
      </c>
    </row>
    <row r="1002" spans="1:5" ht="30" customHeight="1">
      <c r="A1002" s="4">
        <v>1000</v>
      </c>
      <c r="B1002" s="4" t="str">
        <f>"39712022060219221986823"</f>
        <v>39712022060219221986823</v>
      </c>
      <c r="C1002" s="4" t="s">
        <v>24</v>
      </c>
      <c r="D1002" s="4" t="str">
        <f>"周梦君"</f>
        <v>周梦君</v>
      </c>
      <c r="E1002" s="4" t="str">
        <f>"女"</f>
        <v>女</v>
      </c>
    </row>
    <row r="1003" spans="1:5" ht="30" customHeight="1">
      <c r="A1003" s="4">
        <v>1001</v>
      </c>
      <c r="B1003" s="4" t="str">
        <f>"39712022060220485087063"</f>
        <v>39712022060220485087063</v>
      </c>
      <c r="C1003" s="4" t="s">
        <v>24</v>
      </c>
      <c r="D1003" s="4" t="str">
        <f>"向雅兰"</f>
        <v>向雅兰</v>
      </c>
      <c r="E1003" s="4" t="str">
        <f>"女"</f>
        <v>女</v>
      </c>
    </row>
    <row r="1004" spans="1:5" ht="30" customHeight="1">
      <c r="A1004" s="4">
        <v>1002</v>
      </c>
      <c r="B1004" s="4" t="str">
        <f>"39712022060220485687064"</f>
        <v>39712022060220485687064</v>
      </c>
      <c r="C1004" s="4" t="s">
        <v>24</v>
      </c>
      <c r="D1004" s="4" t="str">
        <f>"杨洪丽"</f>
        <v>杨洪丽</v>
      </c>
      <c r="E1004" s="4" t="str">
        <f>"女"</f>
        <v>女</v>
      </c>
    </row>
    <row r="1005" spans="1:5" ht="30" customHeight="1">
      <c r="A1005" s="4">
        <v>1003</v>
      </c>
      <c r="B1005" s="4" t="str">
        <f>"39712022060221133587147"</f>
        <v>39712022060221133587147</v>
      </c>
      <c r="C1005" s="4" t="s">
        <v>24</v>
      </c>
      <c r="D1005" s="4" t="str">
        <f>"牛晴雪"</f>
        <v>牛晴雪</v>
      </c>
      <c r="E1005" s="4" t="str">
        <f>"女"</f>
        <v>女</v>
      </c>
    </row>
    <row r="1006" spans="1:5" ht="30" customHeight="1">
      <c r="A1006" s="4">
        <v>1004</v>
      </c>
      <c r="B1006" s="4" t="str">
        <f>"39712022060222002787293"</f>
        <v>39712022060222002787293</v>
      </c>
      <c r="C1006" s="4" t="s">
        <v>24</v>
      </c>
      <c r="D1006" s="4" t="str">
        <f>"王玉艾"</f>
        <v>王玉艾</v>
      </c>
      <c r="E1006" s="4" t="str">
        <f>"女"</f>
        <v>女</v>
      </c>
    </row>
    <row r="1007" spans="1:5" ht="30" customHeight="1">
      <c r="A1007" s="4">
        <v>1005</v>
      </c>
      <c r="B1007" s="4" t="str">
        <f>"39712022060222220387372"</f>
        <v>39712022060222220387372</v>
      </c>
      <c r="C1007" s="4" t="s">
        <v>24</v>
      </c>
      <c r="D1007" s="4" t="str">
        <f>"王清锐"</f>
        <v>王清锐</v>
      </c>
      <c r="E1007" s="4" t="str">
        <f>"男"</f>
        <v>男</v>
      </c>
    </row>
    <row r="1008" spans="1:5" ht="30" customHeight="1">
      <c r="A1008" s="4">
        <v>1006</v>
      </c>
      <c r="B1008" s="4" t="str">
        <f>"39712022060223445087555"</f>
        <v>39712022060223445087555</v>
      </c>
      <c r="C1008" s="4" t="s">
        <v>24</v>
      </c>
      <c r="D1008" s="4" t="str">
        <f>"林志斌"</f>
        <v>林志斌</v>
      </c>
      <c r="E1008" s="4" t="str">
        <f>"男"</f>
        <v>男</v>
      </c>
    </row>
    <row r="1009" spans="1:5" ht="30" customHeight="1">
      <c r="A1009" s="4">
        <v>1007</v>
      </c>
      <c r="B1009" s="4" t="str">
        <f>"39712022060310175387761"</f>
        <v>39712022060310175387761</v>
      </c>
      <c r="C1009" s="4" t="s">
        <v>24</v>
      </c>
      <c r="D1009" s="4" t="str">
        <f>"牛丽逢"</f>
        <v>牛丽逢</v>
      </c>
      <c r="E1009" s="4" t="str">
        <f aca="true" t="shared" si="44" ref="E1009:E1014">"女"</f>
        <v>女</v>
      </c>
    </row>
    <row r="1010" spans="1:5" ht="30" customHeight="1">
      <c r="A1010" s="4">
        <v>1008</v>
      </c>
      <c r="B1010" s="4" t="str">
        <f>"39712022060312332787921"</f>
        <v>39712022060312332787921</v>
      </c>
      <c r="C1010" s="4" t="s">
        <v>24</v>
      </c>
      <c r="D1010" s="4" t="str">
        <f>"刘雪郸"</f>
        <v>刘雪郸</v>
      </c>
      <c r="E1010" s="4" t="str">
        <f t="shared" si="44"/>
        <v>女</v>
      </c>
    </row>
    <row r="1011" spans="1:5" ht="30" customHeight="1">
      <c r="A1011" s="4">
        <v>1009</v>
      </c>
      <c r="B1011" s="4" t="str">
        <f>"39712022060317105988168"</f>
        <v>39712022060317105988168</v>
      </c>
      <c r="C1011" s="4" t="s">
        <v>24</v>
      </c>
      <c r="D1011" s="4" t="str">
        <f>"刘冉"</f>
        <v>刘冉</v>
      </c>
      <c r="E1011" s="4" t="str">
        <f t="shared" si="44"/>
        <v>女</v>
      </c>
    </row>
    <row r="1012" spans="1:5" ht="30" customHeight="1">
      <c r="A1012" s="4">
        <v>1010</v>
      </c>
      <c r="B1012" s="4" t="str">
        <f>"39712022060319114988275"</f>
        <v>39712022060319114988275</v>
      </c>
      <c r="C1012" s="4" t="s">
        <v>24</v>
      </c>
      <c r="D1012" s="4" t="str">
        <f>"张少娃"</f>
        <v>张少娃</v>
      </c>
      <c r="E1012" s="4" t="str">
        <f t="shared" si="44"/>
        <v>女</v>
      </c>
    </row>
    <row r="1013" spans="1:5" ht="30" customHeight="1">
      <c r="A1013" s="4">
        <v>1011</v>
      </c>
      <c r="B1013" s="4" t="str">
        <f>"39712022060321410488421"</f>
        <v>39712022060321410488421</v>
      </c>
      <c r="C1013" s="4" t="s">
        <v>24</v>
      </c>
      <c r="D1013" s="4" t="str">
        <f>"符慧欣"</f>
        <v>符慧欣</v>
      </c>
      <c r="E1013" s="4" t="str">
        <f t="shared" si="44"/>
        <v>女</v>
      </c>
    </row>
    <row r="1014" spans="1:5" ht="30" customHeight="1">
      <c r="A1014" s="4">
        <v>1012</v>
      </c>
      <c r="B1014" s="4" t="str">
        <f>"39712022060323413688535"</f>
        <v>39712022060323413688535</v>
      </c>
      <c r="C1014" s="4" t="s">
        <v>24</v>
      </c>
      <c r="D1014" s="4" t="str">
        <f>"许桂芝"</f>
        <v>许桂芝</v>
      </c>
      <c r="E1014" s="4" t="str">
        <f t="shared" si="44"/>
        <v>女</v>
      </c>
    </row>
    <row r="1015" spans="1:5" ht="30" customHeight="1">
      <c r="A1015" s="4">
        <v>1013</v>
      </c>
      <c r="B1015" s="4" t="str">
        <f>"39712022060410290388717"</f>
        <v>39712022060410290388717</v>
      </c>
      <c r="C1015" s="4" t="s">
        <v>24</v>
      </c>
      <c r="D1015" s="4" t="str">
        <f>"吴俊安"</f>
        <v>吴俊安</v>
      </c>
      <c r="E1015" s="4" t="str">
        <f>"男"</f>
        <v>男</v>
      </c>
    </row>
    <row r="1016" spans="1:5" ht="30" customHeight="1">
      <c r="A1016" s="4">
        <v>1014</v>
      </c>
      <c r="B1016" s="4" t="str">
        <f>"39712022060410501788759"</f>
        <v>39712022060410501788759</v>
      </c>
      <c r="C1016" s="4" t="s">
        <v>24</v>
      </c>
      <c r="D1016" s="4" t="str">
        <f>"韩成林"</f>
        <v>韩成林</v>
      </c>
      <c r="E1016" s="4" t="str">
        <f>"男"</f>
        <v>男</v>
      </c>
    </row>
    <row r="1017" spans="1:5" ht="30" customHeight="1">
      <c r="A1017" s="4">
        <v>1015</v>
      </c>
      <c r="B1017" s="4" t="str">
        <f>"39712022060416392489106"</f>
        <v>39712022060416392489106</v>
      </c>
      <c r="C1017" s="4" t="s">
        <v>24</v>
      </c>
      <c r="D1017" s="4" t="str">
        <f>"林瑜"</f>
        <v>林瑜</v>
      </c>
      <c r="E1017" s="4" t="str">
        <f aca="true" t="shared" si="45" ref="E1017:E1038">"女"</f>
        <v>女</v>
      </c>
    </row>
    <row r="1018" spans="1:5" ht="30" customHeight="1">
      <c r="A1018" s="4">
        <v>1016</v>
      </c>
      <c r="B1018" s="4" t="str">
        <f>"39712022060418581489238"</f>
        <v>39712022060418581489238</v>
      </c>
      <c r="C1018" s="4" t="s">
        <v>24</v>
      </c>
      <c r="D1018" s="4" t="str">
        <f>"孙拓"</f>
        <v>孙拓</v>
      </c>
      <c r="E1018" s="4" t="str">
        <f t="shared" si="45"/>
        <v>女</v>
      </c>
    </row>
    <row r="1019" spans="1:5" ht="30" customHeight="1">
      <c r="A1019" s="4">
        <v>1017</v>
      </c>
      <c r="B1019" s="4" t="str">
        <f>"39712022060419542789290"</f>
        <v>39712022060419542789290</v>
      </c>
      <c r="C1019" s="4" t="s">
        <v>24</v>
      </c>
      <c r="D1019" s="4" t="str">
        <f>"杨柳"</f>
        <v>杨柳</v>
      </c>
      <c r="E1019" s="4" t="str">
        <f t="shared" si="45"/>
        <v>女</v>
      </c>
    </row>
    <row r="1020" spans="1:5" ht="30" customHeight="1">
      <c r="A1020" s="4">
        <v>1018</v>
      </c>
      <c r="B1020" s="4" t="str">
        <f>"39712022060500170589560"</f>
        <v>39712022060500170589560</v>
      </c>
      <c r="C1020" s="4" t="s">
        <v>24</v>
      </c>
      <c r="D1020" s="4" t="str">
        <f>"张姗姗"</f>
        <v>张姗姗</v>
      </c>
      <c r="E1020" s="4" t="str">
        <f t="shared" si="45"/>
        <v>女</v>
      </c>
    </row>
    <row r="1021" spans="1:5" ht="30" customHeight="1">
      <c r="A1021" s="4">
        <v>1019</v>
      </c>
      <c r="B1021" s="4" t="str">
        <f>"39712022060510400289805"</f>
        <v>39712022060510400289805</v>
      </c>
      <c r="C1021" s="4" t="s">
        <v>24</v>
      </c>
      <c r="D1021" s="4" t="str">
        <f>"张清雅"</f>
        <v>张清雅</v>
      </c>
      <c r="E1021" s="4" t="str">
        <f t="shared" si="45"/>
        <v>女</v>
      </c>
    </row>
    <row r="1022" spans="1:5" ht="30" customHeight="1">
      <c r="A1022" s="4">
        <v>1020</v>
      </c>
      <c r="B1022" s="4" t="str">
        <f>"39712022060512021689948"</f>
        <v>39712022060512021689948</v>
      </c>
      <c r="C1022" s="4" t="s">
        <v>24</v>
      </c>
      <c r="D1022" s="4" t="str">
        <f>"张巾杰"</f>
        <v>张巾杰</v>
      </c>
      <c r="E1022" s="4" t="str">
        <f t="shared" si="45"/>
        <v>女</v>
      </c>
    </row>
    <row r="1023" spans="1:5" ht="30" customHeight="1">
      <c r="A1023" s="4">
        <v>1021</v>
      </c>
      <c r="B1023" s="4" t="str">
        <f>"39712022060512340689988"</f>
        <v>39712022060512340689988</v>
      </c>
      <c r="C1023" s="4" t="s">
        <v>24</v>
      </c>
      <c r="D1023" s="4" t="str">
        <f>"刘雪娟"</f>
        <v>刘雪娟</v>
      </c>
      <c r="E1023" s="4" t="str">
        <f t="shared" si="45"/>
        <v>女</v>
      </c>
    </row>
    <row r="1024" spans="1:5" ht="30" customHeight="1">
      <c r="A1024" s="4">
        <v>1022</v>
      </c>
      <c r="B1024" s="4" t="str">
        <f>"39712022060518011190414"</f>
        <v>39712022060518011190414</v>
      </c>
      <c r="C1024" s="4" t="s">
        <v>24</v>
      </c>
      <c r="D1024" s="4" t="str">
        <f>"李娇"</f>
        <v>李娇</v>
      </c>
      <c r="E1024" s="4" t="str">
        <f t="shared" si="45"/>
        <v>女</v>
      </c>
    </row>
    <row r="1025" spans="1:5" ht="30" customHeight="1">
      <c r="A1025" s="4">
        <v>1023</v>
      </c>
      <c r="B1025" s="4" t="str">
        <f>"39712022060518515490475"</f>
        <v>39712022060518515490475</v>
      </c>
      <c r="C1025" s="4" t="s">
        <v>24</v>
      </c>
      <c r="D1025" s="4" t="str">
        <f>"潘婷"</f>
        <v>潘婷</v>
      </c>
      <c r="E1025" s="4" t="str">
        <f t="shared" si="45"/>
        <v>女</v>
      </c>
    </row>
    <row r="1026" spans="1:5" ht="30" customHeight="1">
      <c r="A1026" s="4">
        <v>1024</v>
      </c>
      <c r="B1026" s="4" t="str">
        <f>"39712022060520341790613"</f>
        <v>39712022060520341790613</v>
      </c>
      <c r="C1026" s="4" t="s">
        <v>24</v>
      </c>
      <c r="D1026" s="4" t="str">
        <f>"李正芳"</f>
        <v>李正芳</v>
      </c>
      <c r="E1026" s="4" t="str">
        <f t="shared" si="45"/>
        <v>女</v>
      </c>
    </row>
    <row r="1027" spans="1:5" ht="30" customHeight="1">
      <c r="A1027" s="4">
        <v>1025</v>
      </c>
      <c r="B1027" s="4" t="str">
        <f>"39712022060521441090790"</f>
        <v>39712022060521441090790</v>
      </c>
      <c r="C1027" s="4" t="s">
        <v>24</v>
      </c>
      <c r="D1027" s="4" t="str">
        <f>"林凤姣"</f>
        <v>林凤姣</v>
      </c>
      <c r="E1027" s="4" t="str">
        <f t="shared" si="45"/>
        <v>女</v>
      </c>
    </row>
    <row r="1028" spans="1:5" ht="30" customHeight="1">
      <c r="A1028" s="4">
        <v>1026</v>
      </c>
      <c r="B1028" s="4" t="str">
        <f>"39712022060600424591001"</f>
        <v>39712022060600424591001</v>
      </c>
      <c r="C1028" s="4" t="s">
        <v>24</v>
      </c>
      <c r="D1028" s="4" t="str">
        <f>"庄逸敏"</f>
        <v>庄逸敏</v>
      </c>
      <c r="E1028" s="4" t="str">
        <f t="shared" si="45"/>
        <v>女</v>
      </c>
    </row>
    <row r="1029" spans="1:5" ht="30" customHeight="1">
      <c r="A1029" s="4">
        <v>1027</v>
      </c>
      <c r="B1029" s="4" t="str">
        <f>"39712022060608163091082"</f>
        <v>39712022060608163091082</v>
      </c>
      <c r="C1029" s="4" t="s">
        <v>24</v>
      </c>
      <c r="D1029" s="4" t="str">
        <f>"罗慧"</f>
        <v>罗慧</v>
      </c>
      <c r="E1029" s="4" t="str">
        <f t="shared" si="45"/>
        <v>女</v>
      </c>
    </row>
    <row r="1030" spans="1:5" ht="30" customHeight="1">
      <c r="A1030" s="4">
        <v>1028</v>
      </c>
      <c r="B1030" s="4" t="str">
        <f>"39712022060608331791107"</f>
        <v>39712022060608331791107</v>
      </c>
      <c r="C1030" s="4" t="s">
        <v>24</v>
      </c>
      <c r="D1030" s="4" t="str">
        <f>"徐辉璇"</f>
        <v>徐辉璇</v>
      </c>
      <c r="E1030" s="4" t="str">
        <f t="shared" si="45"/>
        <v>女</v>
      </c>
    </row>
    <row r="1031" spans="1:5" ht="30" customHeight="1">
      <c r="A1031" s="4">
        <v>1029</v>
      </c>
      <c r="B1031" s="4" t="str">
        <f>"39712022060608422891131"</f>
        <v>39712022060608422891131</v>
      </c>
      <c r="C1031" s="4" t="s">
        <v>24</v>
      </c>
      <c r="D1031" s="4" t="str">
        <f>"吕伟"</f>
        <v>吕伟</v>
      </c>
      <c r="E1031" s="4" t="str">
        <f t="shared" si="45"/>
        <v>女</v>
      </c>
    </row>
    <row r="1032" spans="1:5" ht="30" customHeight="1">
      <c r="A1032" s="4">
        <v>1030</v>
      </c>
      <c r="B1032" s="4" t="str">
        <f>"39712022060609035391415"</f>
        <v>39712022060609035391415</v>
      </c>
      <c r="C1032" s="4" t="s">
        <v>24</v>
      </c>
      <c r="D1032" s="4" t="str">
        <f>"罗嘉晶"</f>
        <v>罗嘉晶</v>
      </c>
      <c r="E1032" s="4" t="str">
        <f t="shared" si="45"/>
        <v>女</v>
      </c>
    </row>
    <row r="1033" spans="1:5" ht="30" customHeight="1">
      <c r="A1033" s="4">
        <v>1031</v>
      </c>
      <c r="B1033" s="4" t="str">
        <f>"39712022060609133291830"</f>
        <v>39712022060609133291830</v>
      </c>
      <c r="C1033" s="4" t="s">
        <v>24</v>
      </c>
      <c r="D1033" s="4" t="str">
        <f>"谭春燕"</f>
        <v>谭春燕</v>
      </c>
      <c r="E1033" s="4" t="str">
        <f t="shared" si="45"/>
        <v>女</v>
      </c>
    </row>
    <row r="1034" spans="1:5" ht="30" customHeight="1">
      <c r="A1034" s="4">
        <v>1032</v>
      </c>
      <c r="B1034" s="4" t="str">
        <f>"39712022060609415792684"</f>
        <v>39712022060609415792684</v>
      </c>
      <c r="C1034" s="4" t="s">
        <v>24</v>
      </c>
      <c r="D1034" s="4" t="str">
        <f>"戚昕"</f>
        <v>戚昕</v>
      </c>
      <c r="E1034" s="4" t="str">
        <f t="shared" si="45"/>
        <v>女</v>
      </c>
    </row>
    <row r="1035" spans="1:5" ht="30" customHeight="1">
      <c r="A1035" s="4">
        <v>1033</v>
      </c>
      <c r="B1035" s="4" t="str">
        <f>"39712022060610182193609"</f>
        <v>39712022060610182193609</v>
      </c>
      <c r="C1035" s="4" t="s">
        <v>24</v>
      </c>
      <c r="D1035" s="4" t="str">
        <f>"李宛桦"</f>
        <v>李宛桦</v>
      </c>
      <c r="E1035" s="4" t="str">
        <f t="shared" si="45"/>
        <v>女</v>
      </c>
    </row>
    <row r="1036" spans="1:5" ht="30" customHeight="1">
      <c r="A1036" s="4">
        <v>1034</v>
      </c>
      <c r="B1036" s="4" t="str">
        <f>"39712022060610245493781"</f>
        <v>39712022060610245493781</v>
      </c>
      <c r="C1036" s="4" t="s">
        <v>24</v>
      </c>
      <c r="D1036" s="4" t="str">
        <f>"赵宇宁"</f>
        <v>赵宇宁</v>
      </c>
      <c r="E1036" s="4" t="str">
        <f t="shared" si="45"/>
        <v>女</v>
      </c>
    </row>
    <row r="1037" spans="1:5" ht="30" customHeight="1">
      <c r="A1037" s="4">
        <v>1035</v>
      </c>
      <c r="B1037" s="4" t="str">
        <f>"39712022060610372494114"</f>
        <v>39712022060610372494114</v>
      </c>
      <c r="C1037" s="4" t="s">
        <v>24</v>
      </c>
      <c r="D1037" s="4" t="str">
        <f>"骆小霞"</f>
        <v>骆小霞</v>
      </c>
      <c r="E1037" s="4" t="str">
        <f t="shared" si="45"/>
        <v>女</v>
      </c>
    </row>
    <row r="1038" spans="1:5" ht="30" customHeight="1">
      <c r="A1038" s="4">
        <v>1036</v>
      </c>
      <c r="B1038" s="4" t="str">
        <f>"39712022060611141394881"</f>
        <v>39712022060611141394881</v>
      </c>
      <c r="C1038" s="4" t="s">
        <v>24</v>
      </c>
      <c r="D1038" s="4" t="str">
        <f>"李爽"</f>
        <v>李爽</v>
      </c>
      <c r="E1038" s="4" t="str">
        <f t="shared" si="45"/>
        <v>女</v>
      </c>
    </row>
    <row r="1039" spans="1:5" ht="30" customHeight="1">
      <c r="A1039" s="4">
        <v>1037</v>
      </c>
      <c r="B1039" s="4" t="str">
        <f>"39712022060611175894948"</f>
        <v>39712022060611175894948</v>
      </c>
      <c r="C1039" s="4" t="s">
        <v>24</v>
      </c>
      <c r="D1039" s="4" t="str">
        <f>"黄平"</f>
        <v>黄平</v>
      </c>
      <c r="E1039" s="4" t="str">
        <f>"男"</f>
        <v>男</v>
      </c>
    </row>
    <row r="1040" spans="1:5" ht="30" customHeight="1">
      <c r="A1040" s="4">
        <v>1038</v>
      </c>
      <c r="B1040" s="4" t="str">
        <f>"39712022060612433896167"</f>
        <v>39712022060612433896167</v>
      </c>
      <c r="C1040" s="4" t="s">
        <v>24</v>
      </c>
      <c r="D1040" s="4" t="str">
        <f>"符先进"</f>
        <v>符先进</v>
      </c>
      <c r="E1040" s="4" t="str">
        <f>"男"</f>
        <v>男</v>
      </c>
    </row>
    <row r="1041" spans="1:5" ht="30" customHeight="1">
      <c r="A1041" s="4">
        <v>1039</v>
      </c>
      <c r="B1041" s="4" t="str">
        <f>"39712022060614510897378"</f>
        <v>39712022060614510897378</v>
      </c>
      <c r="C1041" s="4" t="s">
        <v>24</v>
      </c>
      <c r="D1041" s="4" t="str">
        <f>"张柯"</f>
        <v>张柯</v>
      </c>
      <c r="E1041" s="4" t="str">
        <f>"女"</f>
        <v>女</v>
      </c>
    </row>
    <row r="1042" spans="1:5" ht="30" customHeight="1">
      <c r="A1042" s="4">
        <v>1040</v>
      </c>
      <c r="B1042" s="4" t="str">
        <f>"39712022060615010497507"</f>
        <v>39712022060615010497507</v>
      </c>
      <c r="C1042" s="4" t="s">
        <v>24</v>
      </c>
      <c r="D1042" s="4" t="str">
        <f>"卓杰扬"</f>
        <v>卓杰扬</v>
      </c>
      <c r="E1042" s="4" t="str">
        <f>"男"</f>
        <v>男</v>
      </c>
    </row>
    <row r="1043" spans="1:5" ht="30" customHeight="1">
      <c r="A1043" s="4">
        <v>1041</v>
      </c>
      <c r="B1043" s="4" t="str">
        <f>"39712022060615252697851"</f>
        <v>39712022060615252697851</v>
      </c>
      <c r="C1043" s="4" t="s">
        <v>24</v>
      </c>
      <c r="D1043" s="4" t="str">
        <f>"叶绿子"</f>
        <v>叶绿子</v>
      </c>
      <c r="E1043" s="4" t="str">
        <f>"女"</f>
        <v>女</v>
      </c>
    </row>
    <row r="1044" spans="1:5" ht="30" customHeight="1">
      <c r="A1044" s="4">
        <v>1042</v>
      </c>
      <c r="B1044" s="4" t="str">
        <f>"39712022060615540198241"</f>
        <v>39712022060615540198241</v>
      </c>
      <c r="C1044" s="4" t="s">
        <v>24</v>
      </c>
      <c r="D1044" s="4" t="str">
        <f>"吴全珍"</f>
        <v>吴全珍</v>
      </c>
      <c r="E1044" s="4" t="str">
        <f>"男"</f>
        <v>男</v>
      </c>
    </row>
    <row r="1045" spans="1:5" ht="30" customHeight="1">
      <c r="A1045" s="4">
        <v>1043</v>
      </c>
      <c r="B1045" s="4" t="str">
        <f>"39712022060617095899205"</f>
        <v>39712022060617095899205</v>
      </c>
      <c r="C1045" s="4" t="s">
        <v>24</v>
      </c>
      <c r="D1045" s="4" t="str">
        <f>"刘偲"</f>
        <v>刘偲</v>
      </c>
      <c r="E1045" s="4" t="str">
        <f aca="true" t="shared" si="46" ref="E1045:E1051">"女"</f>
        <v>女</v>
      </c>
    </row>
    <row r="1046" spans="1:5" ht="30" customHeight="1">
      <c r="A1046" s="4">
        <v>1044</v>
      </c>
      <c r="B1046" s="4" t="str">
        <f>"397120220606192518100360"</f>
        <v>397120220606192518100360</v>
      </c>
      <c r="C1046" s="4" t="s">
        <v>24</v>
      </c>
      <c r="D1046" s="4" t="str">
        <f>"邓传慧"</f>
        <v>邓传慧</v>
      </c>
      <c r="E1046" s="4" t="str">
        <f t="shared" si="46"/>
        <v>女</v>
      </c>
    </row>
    <row r="1047" spans="1:5" ht="30" customHeight="1">
      <c r="A1047" s="4">
        <v>1045</v>
      </c>
      <c r="B1047" s="4" t="str">
        <f>"397120220606200032100653"</f>
        <v>397120220606200032100653</v>
      </c>
      <c r="C1047" s="4" t="s">
        <v>24</v>
      </c>
      <c r="D1047" s="4" t="str">
        <f>"邢肖肖"</f>
        <v>邢肖肖</v>
      </c>
      <c r="E1047" s="4" t="str">
        <f t="shared" si="46"/>
        <v>女</v>
      </c>
    </row>
    <row r="1048" spans="1:5" ht="30" customHeight="1">
      <c r="A1048" s="4">
        <v>1046</v>
      </c>
      <c r="B1048" s="4" t="str">
        <f>"397120220606202126100829"</f>
        <v>397120220606202126100829</v>
      </c>
      <c r="C1048" s="4" t="s">
        <v>24</v>
      </c>
      <c r="D1048" s="4" t="str">
        <f>"谢金珊"</f>
        <v>谢金珊</v>
      </c>
      <c r="E1048" s="4" t="str">
        <f t="shared" si="46"/>
        <v>女</v>
      </c>
    </row>
    <row r="1049" spans="1:5" ht="30" customHeight="1">
      <c r="A1049" s="4">
        <v>1047</v>
      </c>
      <c r="B1049" s="4" t="str">
        <f>"397120220606202919100892"</f>
        <v>397120220606202919100892</v>
      </c>
      <c r="C1049" s="4" t="s">
        <v>24</v>
      </c>
      <c r="D1049" s="4" t="str">
        <f>"吕琴琴"</f>
        <v>吕琴琴</v>
      </c>
      <c r="E1049" s="4" t="str">
        <f t="shared" si="46"/>
        <v>女</v>
      </c>
    </row>
    <row r="1050" spans="1:5" ht="30" customHeight="1">
      <c r="A1050" s="4">
        <v>1048</v>
      </c>
      <c r="B1050" s="4" t="str">
        <f>"397120220606211534101278"</f>
        <v>397120220606211534101278</v>
      </c>
      <c r="C1050" s="4" t="s">
        <v>24</v>
      </c>
      <c r="D1050" s="4" t="str">
        <f>"赵炎"</f>
        <v>赵炎</v>
      </c>
      <c r="E1050" s="4" t="str">
        <f t="shared" si="46"/>
        <v>女</v>
      </c>
    </row>
    <row r="1051" spans="1:5" ht="30" customHeight="1">
      <c r="A1051" s="4">
        <v>1049</v>
      </c>
      <c r="B1051" s="4" t="str">
        <f>"397120220606225907102143"</f>
        <v>397120220606225907102143</v>
      </c>
      <c r="C1051" s="4" t="s">
        <v>24</v>
      </c>
      <c r="D1051" s="4" t="str">
        <f>"邢春娅"</f>
        <v>邢春娅</v>
      </c>
      <c r="E1051" s="4" t="str">
        <f t="shared" si="46"/>
        <v>女</v>
      </c>
    </row>
    <row r="1052" spans="1:5" ht="30" customHeight="1">
      <c r="A1052" s="4">
        <v>1050</v>
      </c>
      <c r="B1052" s="4" t="str">
        <f>"397120220607010533102496"</f>
        <v>397120220607010533102496</v>
      </c>
      <c r="C1052" s="4" t="s">
        <v>24</v>
      </c>
      <c r="D1052" s="4" t="str">
        <f>"蔡汝强"</f>
        <v>蔡汝强</v>
      </c>
      <c r="E1052" s="4" t="str">
        <f>"男"</f>
        <v>男</v>
      </c>
    </row>
    <row r="1053" spans="1:5" ht="30" customHeight="1">
      <c r="A1053" s="4">
        <v>1051</v>
      </c>
      <c r="B1053" s="4" t="str">
        <f>"397120220607101204104168"</f>
        <v>397120220607101204104168</v>
      </c>
      <c r="C1053" s="4" t="s">
        <v>24</v>
      </c>
      <c r="D1053" s="4" t="str">
        <f>"孙瑞"</f>
        <v>孙瑞</v>
      </c>
      <c r="E1053" s="4" t="str">
        <f>"女"</f>
        <v>女</v>
      </c>
    </row>
    <row r="1054" spans="1:5" ht="30" customHeight="1">
      <c r="A1054" s="4">
        <v>1052</v>
      </c>
      <c r="B1054" s="4" t="str">
        <f>"397120220607110240104844"</f>
        <v>397120220607110240104844</v>
      </c>
      <c r="C1054" s="4" t="s">
        <v>24</v>
      </c>
      <c r="D1054" s="4" t="str">
        <f>"吴灵燕"</f>
        <v>吴灵燕</v>
      </c>
      <c r="E1054" s="4" t="str">
        <f>"女"</f>
        <v>女</v>
      </c>
    </row>
    <row r="1055" spans="1:5" ht="30" customHeight="1">
      <c r="A1055" s="4">
        <v>1053</v>
      </c>
      <c r="B1055" s="4" t="str">
        <f>"397120220607111203104952"</f>
        <v>397120220607111203104952</v>
      </c>
      <c r="C1055" s="4" t="s">
        <v>24</v>
      </c>
      <c r="D1055" s="4" t="str">
        <f>"彭金师"</f>
        <v>彭金师</v>
      </c>
      <c r="E1055" s="4" t="str">
        <f>"男"</f>
        <v>男</v>
      </c>
    </row>
    <row r="1056" spans="1:5" ht="30" customHeight="1">
      <c r="A1056" s="4">
        <v>1054</v>
      </c>
      <c r="B1056" s="4" t="str">
        <f>"397120220607112605105093"</f>
        <v>397120220607112605105093</v>
      </c>
      <c r="C1056" s="4" t="s">
        <v>24</v>
      </c>
      <c r="D1056" s="4" t="str">
        <f>"秦倩"</f>
        <v>秦倩</v>
      </c>
      <c r="E1056" s="4" t="str">
        <f aca="true" t="shared" si="47" ref="E1056:E1062">"女"</f>
        <v>女</v>
      </c>
    </row>
    <row r="1057" spans="1:5" ht="30" customHeight="1">
      <c r="A1057" s="4">
        <v>1055</v>
      </c>
      <c r="B1057" s="4" t="str">
        <f>"397120220607113935105239"</f>
        <v>397120220607113935105239</v>
      </c>
      <c r="C1057" s="4" t="s">
        <v>24</v>
      </c>
      <c r="D1057" s="4" t="str">
        <f>"林婧"</f>
        <v>林婧</v>
      </c>
      <c r="E1057" s="4" t="str">
        <f t="shared" si="47"/>
        <v>女</v>
      </c>
    </row>
    <row r="1058" spans="1:5" ht="30" customHeight="1">
      <c r="A1058" s="4">
        <v>1056</v>
      </c>
      <c r="B1058" s="4" t="str">
        <f>"397120220607123550105712"</f>
        <v>397120220607123550105712</v>
      </c>
      <c r="C1058" s="4" t="s">
        <v>24</v>
      </c>
      <c r="D1058" s="4" t="str">
        <f>"周瑞晓"</f>
        <v>周瑞晓</v>
      </c>
      <c r="E1058" s="4" t="str">
        <f t="shared" si="47"/>
        <v>女</v>
      </c>
    </row>
    <row r="1059" spans="1:5" ht="30" customHeight="1">
      <c r="A1059" s="4">
        <v>1057</v>
      </c>
      <c r="B1059" s="4" t="str">
        <f>"397120220607141425106376"</f>
        <v>397120220607141425106376</v>
      </c>
      <c r="C1059" s="4" t="s">
        <v>24</v>
      </c>
      <c r="D1059" s="4" t="str">
        <f>"董雅娇"</f>
        <v>董雅娇</v>
      </c>
      <c r="E1059" s="4" t="str">
        <f t="shared" si="47"/>
        <v>女</v>
      </c>
    </row>
    <row r="1060" spans="1:5" ht="30" customHeight="1">
      <c r="A1060" s="4">
        <v>1058</v>
      </c>
      <c r="B1060" s="4" t="str">
        <f>"397120220607145609106707"</f>
        <v>397120220607145609106707</v>
      </c>
      <c r="C1060" s="4" t="s">
        <v>24</v>
      </c>
      <c r="D1060" s="4" t="str">
        <f>"马鑫"</f>
        <v>马鑫</v>
      </c>
      <c r="E1060" s="4" t="str">
        <f t="shared" si="47"/>
        <v>女</v>
      </c>
    </row>
    <row r="1061" spans="1:5" ht="30" customHeight="1">
      <c r="A1061" s="4">
        <v>1059</v>
      </c>
      <c r="B1061" s="4" t="str">
        <f>"397120220607213848109901"</f>
        <v>397120220607213848109901</v>
      </c>
      <c r="C1061" s="4" t="s">
        <v>24</v>
      </c>
      <c r="D1061" s="4" t="str">
        <f>"杨丽娜"</f>
        <v>杨丽娜</v>
      </c>
      <c r="E1061" s="4" t="str">
        <f t="shared" si="47"/>
        <v>女</v>
      </c>
    </row>
    <row r="1062" spans="1:5" ht="30" customHeight="1">
      <c r="A1062" s="4">
        <v>1060</v>
      </c>
      <c r="B1062" s="4" t="str">
        <f>"397120220608083221110994"</f>
        <v>397120220608083221110994</v>
      </c>
      <c r="C1062" s="4" t="s">
        <v>24</v>
      </c>
      <c r="D1062" s="4" t="str">
        <f>"卓洁珊"</f>
        <v>卓洁珊</v>
      </c>
      <c r="E1062" s="4" t="str">
        <f t="shared" si="47"/>
        <v>女</v>
      </c>
    </row>
    <row r="1063" spans="1:5" ht="30" customHeight="1">
      <c r="A1063" s="4">
        <v>1061</v>
      </c>
      <c r="B1063" s="4" t="str">
        <f>"397120220608090314111233"</f>
        <v>397120220608090314111233</v>
      </c>
      <c r="C1063" s="4" t="s">
        <v>24</v>
      </c>
      <c r="D1063" s="4" t="str">
        <f>"刘颢源"</f>
        <v>刘颢源</v>
      </c>
      <c r="E1063" s="4" t="str">
        <f>"男"</f>
        <v>男</v>
      </c>
    </row>
    <row r="1064" spans="1:5" ht="30" customHeight="1">
      <c r="A1064" s="4">
        <v>1062</v>
      </c>
      <c r="B1064" s="4" t="str">
        <f>"397120220608092151111371"</f>
        <v>397120220608092151111371</v>
      </c>
      <c r="C1064" s="4" t="s">
        <v>24</v>
      </c>
      <c r="D1064" s="4" t="str">
        <f>"高倩倩"</f>
        <v>高倩倩</v>
      </c>
      <c r="E1064" s="4" t="str">
        <f>"女"</f>
        <v>女</v>
      </c>
    </row>
    <row r="1065" spans="1:5" ht="30" customHeight="1">
      <c r="A1065" s="4">
        <v>1063</v>
      </c>
      <c r="B1065" s="4" t="str">
        <f>"397120220608103232111969"</f>
        <v>397120220608103232111969</v>
      </c>
      <c r="C1065" s="4" t="s">
        <v>24</v>
      </c>
      <c r="D1065" s="4" t="str">
        <f>"谭智"</f>
        <v>谭智</v>
      </c>
      <c r="E1065" s="4" t="str">
        <f>"男"</f>
        <v>男</v>
      </c>
    </row>
    <row r="1066" spans="1:5" ht="30" customHeight="1">
      <c r="A1066" s="4">
        <v>1064</v>
      </c>
      <c r="B1066" s="4" t="str">
        <f>"39712022060109012278188"</f>
        <v>39712022060109012278188</v>
      </c>
      <c r="C1066" s="4" t="s">
        <v>25</v>
      </c>
      <c r="D1066" s="4" t="str">
        <f>"汤茜岚"</f>
        <v>汤茜岚</v>
      </c>
      <c r="E1066" s="4" t="str">
        <f aca="true" t="shared" si="48" ref="E1066:E1075">"女"</f>
        <v>女</v>
      </c>
    </row>
    <row r="1067" spans="1:5" ht="30" customHeight="1">
      <c r="A1067" s="4">
        <v>1065</v>
      </c>
      <c r="B1067" s="4" t="str">
        <f>"39712022060109041878208"</f>
        <v>39712022060109041878208</v>
      </c>
      <c r="C1067" s="4" t="s">
        <v>25</v>
      </c>
      <c r="D1067" s="4" t="str">
        <f>"张冰雨"</f>
        <v>张冰雨</v>
      </c>
      <c r="E1067" s="4" t="str">
        <f t="shared" si="48"/>
        <v>女</v>
      </c>
    </row>
    <row r="1068" spans="1:5" ht="30" customHeight="1">
      <c r="A1068" s="4">
        <v>1066</v>
      </c>
      <c r="B1068" s="4" t="str">
        <f>"39712022060109060778226"</f>
        <v>39712022060109060778226</v>
      </c>
      <c r="C1068" s="4" t="s">
        <v>25</v>
      </c>
      <c r="D1068" s="4" t="str">
        <f>"王春媛"</f>
        <v>王春媛</v>
      </c>
      <c r="E1068" s="4" t="str">
        <f t="shared" si="48"/>
        <v>女</v>
      </c>
    </row>
    <row r="1069" spans="1:5" ht="30" customHeight="1">
      <c r="A1069" s="4">
        <v>1067</v>
      </c>
      <c r="B1069" s="4" t="str">
        <f>"39712022060109062278227"</f>
        <v>39712022060109062278227</v>
      </c>
      <c r="C1069" s="4" t="s">
        <v>25</v>
      </c>
      <c r="D1069" s="4" t="str">
        <f>"王彩霞"</f>
        <v>王彩霞</v>
      </c>
      <c r="E1069" s="4" t="str">
        <f t="shared" si="48"/>
        <v>女</v>
      </c>
    </row>
    <row r="1070" spans="1:5" ht="30" customHeight="1">
      <c r="A1070" s="4">
        <v>1068</v>
      </c>
      <c r="B1070" s="4" t="str">
        <f>"39712022060109070778234"</f>
        <v>39712022060109070778234</v>
      </c>
      <c r="C1070" s="4" t="s">
        <v>25</v>
      </c>
      <c r="D1070" s="4" t="str">
        <f>"黄小娟"</f>
        <v>黄小娟</v>
      </c>
      <c r="E1070" s="4" t="str">
        <f t="shared" si="48"/>
        <v>女</v>
      </c>
    </row>
    <row r="1071" spans="1:5" ht="30" customHeight="1">
      <c r="A1071" s="4">
        <v>1069</v>
      </c>
      <c r="B1071" s="4" t="str">
        <f>"39712022060109072478241"</f>
        <v>39712022060109072478241</v>
      </c>
      <c r="C1071" s="4" t="s">
        <v>25</v>
      </c>
      <c r="D1071" s="4" t="str">
        <f>"符秋丽"</f>
        <v>符秋丽</v>
      </c>
      <c r="E1071" s="4" t="str">
        <f t="shared" si="48"/>
        <v>女</v>
      </c>
    </row>
    <row r="1072" spans="1:5" ht="30" customHeight="1">
      <c r="A1072" s="4">
        <v>1070</v>
      </c>
      <c r="B1072" s="4" t="str">
        <f>"39712022060109072978243"</f>
        <v>39712022060109072978243</v>
      </c>
      <c r="C1072" s="4" t="s">
        <v>25</v>
      </c>
      <c r="D1072" s="4" t="str">
        <f>"郑丽凡"</f>
        <v>郑丽凡</v>
      </c>
      <c r="E1072" s="4" t="str">
        <f t="shared" si="48"/>
        <v>女</v>
      </c>
    </row>
    <row r="1073" spans="1:5" ht="30" customHeight="1">
      <c r="A1073" s="4">
        <v>1071</v>
      </c>
      <c r="B1073" s="4" t="str">
        <f>"39712022060109074278246"</f>
        <v>39712022060109074278246</v>
      </c>
      <c r="C1073" s="4" t="s">
        <v>25</v>
      </c>
      <c r="D1073" s="4" t="str">
        <f>"李雅婷"</f>
        <v>李雅婷</v>
      </c>
      <c r="E1073" s="4" t="str">
        <f t="shared" si="48"/>
        <v>女</v>
      </c>
    </row>
    <row r="1074" spans="1:5" ht="30" customHeight="1">
      <c r="A1074" s="4">
        <v>1072</v>
      </c>
      <c r="B1074" s="4" t="str">
        <f>"39712022060109074478248"</f>
        <v>39712022060109074478248</v>
      </c>
      <c r="C1074" s="4" t="s">
        <v>25</v>
      </c>
      <c r="D1074" s="4" t="str">
        <f>"钟飞燕"</f>
        <v>钟飞燕</v>
      </c>
      <c r="E1074" s="4" t="str">
        <f t="shared" si="48"/>
        <v>女</v>
      </c>
    </row>
    <row r="1075" spans="1:5" ht="30" customHeight="1">
      <c r="A1075" s="4">
        <v>1073</v>
      </c>
      <c r="B1075" s="4" t="str">
        <f>"39712022060109090978260"</f>
        <v>39712022060109090978260</v>
      </c>
      <c r="C1075" s="4" t="s">
        <v>25</v>
      </c>
      <c r="D1075" s="4" t="str">
        <f>"陈海波"</f>
        <v>陈海波</v>
      </c>
      <c r="E1075" s="4" t="str">
        <f t="shared" si="48"/>
        <v>女</v>
      </c>
    </row>
    <row r="1076" spans="1:5" ht="30" customHeight="1">
      <c r="A1076" s="4">
        <v>1074</v>
      </c>
      <c r="B1076" s="4" t="str">
        <f>"39712022060109100778269"</f>
        <v>39712022060109100778269</v>
      </c>
      <c r="C1076" s="4" t="s">
        <v>25</v>
      </c>
      <c r="D1076" s="4" t="str">
        <f>"张强"</f>
        <v>张强</v>
      </c>
      <c r="E1076" s="4" t="str">
        <f>"男"</f>
        <v>男</v>
      </c>
    </row>
    <row r="1077" spans="1:5" ht="30" customHeight="1">
      <c r="A1077" s="4">
        <v>1075</v>
      </c>
      <c r="B1077" s="4" t="str">
        <f>"39712022060109113178281"</f>
        <v>39712022060109113178281</v>
      </c>
      <c r="C1077" s="4" t="s">
        <v>25</v>
      </c>
      <c r="D1077" s="4" t="str">
        <f>"陈长荟"</f>
        <v>陈长荟</v>
      </c>
      <c r="E1077" s="4" t="str">
        <f>"男"</f>
        <v>男</v>
      </c>
    </row>
    <row r="1078" spans="1:5" ht="30" customHeight="1">
      <c r="A1078" s="4">
        <v>1076</v>
      </c>
      <c r="B1078" s="4" t="str">
        <f>"39712022060109154178317"</f>
        <v>39712022060109154178317</v>
      </c>
      <c r="C1078" s="4" t="s">
        <v>25</v>
      </c>
      <c r="D1078" s="4" t="str">
        <f>"何员华"</f>
        <v>何员华</v>
      </c>
      <c r="E1078" s="4" t="str">
        <f>"女"</f>
        <v>女</v>
      </c>
    </row>
    <row r="1079" spans="1:5" ht="30" customHeight="1">
      <c r="A1079" s="4">
        <v>1077</v>
      </c>
      <c r="B1079" s="4" t="str">
        <f>"39712022060109155778320"</f>
        <v>39712022060109155778320</v>
      </c>
      <c r="C1079" s="4" t="s">
        <v>25</v>
      </c>
      <c r="D1079" s="4" t="str">
        <f>"王书美"</f>
        <v>王书美</v>
      </c>
      <c r="E1079" s="4" t="str">
        <f>"女"</f>
        <v>女</v>
      </c>
    </row>
    <row r="1080" spans="1:5" ht="30" customHeight="1">
      <c r="A1080" s="4">
        <v>1078</v>
      </c>
      <c r="B1080" s="4" t="str">
        <f>"39712022060109202178363"</f>
        <v>39712022060109202178363</v>
      </c>
      <c r="C1080" s="4" t="s">
        <v>25</v>
      </c>
      <c r="D1080" s="4" t="str">
        <f>"张新干"</f>
        <v>张新干</v>
      </c>
      <c r="E1080" s="4" t="str">
        <f>"男"</f>
        <v>男</v>
      </c>
    </row>
    <row r="1081" spans="1:5" ht="30" customHeight="1">
      <c r="A1081" s="4">
        <v>1079</v>
      </c>
      <c r="B1081" s="4" t="str">
        <f>"39712022060109203678365"</f>
        <v>39712022060109203678365</v>
      </c>
      <c r="C1081" s="4" t="s">
        <v>25</v>
      </c>
      <c r="D1081" s="4" t="str">
        <f>"吴维雅"</f>
        <v>吴维雅</v>
      </c>
      <c r="E1081" s="4" t="str">
        <f>"男"</f>
        <v>男</v>
      </c>
    </row>
    <row r="1082" spans="1:5" ht="30" customHeight="1">
      <c r="A1082" s="4">
        <v>1080</v>
      </c>
      <c r="B1082" s="4" t="str">
        <f>"39712022060109232878394"</f>
        <v>39712022060109232878394</v>
      </c>
      <c r="C1082" s="4" t="s">
        <v>25</v>
      </c>
      <c r="D1082" s="4" t="str">
        <f>"王芳丽"</f>
        <v>王芳丽</v>
      </c>
      <c r="E1082" s="4" t="str">
        <f aca="true" t="shared" si="49" ref="E1082:E1090">"女"</f>
        <v>女</v>
      </c>
    </row>
    <row r="1083" spans="1:5" ht="30" customHeight="1">
      <c r="A1083" s="4">
        <v>1081</v>
      </c>
      <c r="B1083" s="4" t="str">
        <f>"39712022060109262678426"</f>
        <v>39712022060109262678426</v>
      </c>
      <c r="C1083" s="4" t="s">
        <v>25</v>
      </c>
      <c r="D1083" s="4" t="str">
        <f>"符风春"</f>
        <v>符风春</v>
      </c>
      <c r="E1083" s="4" t="str">
        <f t="shared" si="49"/>
        <v>女</v>
      </c>
    </row>
    <row r="1084" spans="1:5" ht="30" customHeight="1">
      <c r="A1084" s="4">
        <v>1082</v>
      </c>
      <c r="B1084" s="4" t="str">
        <f>"39712022060109282078440"</f>
        <v>39712022060109282078440</v>
      </c>
      <c r="C1084" s="4" t="s">
        <v>25</v>
      </c>
      <c r="D1084" s="4" t="str">
        <f>"岑文静"</f>
        <v>岑文静</v>
      </c>
      <c r="E1084" s="4" t="str">
        <f t="shared" si="49"/>
        <v>女</v>
      </c>
    </row>
    <row r="1085" spans="1:5" ht="30" customHeight="1">
      <c r="A1085" s="4">
        <v>1083</v>
      </c>
      <c r="B1085" s="4" t="str">
        <f>"39712022060109294278451"</f>
        <v>39712022060109294278451</v>
      </c>
      <c r="C1085" s="4" t="s">
        <v>25</v>
      </c>
      <c r="D1085" s="4" t="str">
        <f>"王彩云"</f>
        <v>王彩云</v>
      </c>
      <c r="E1085" s="4" t="str">
        <f t="shared" si="49"/>
        <v>女</v>
      </c>
    </row>
    <row r="1086" spans="1:5" ht="30" customHeight="1">
      <c r="A1086" s="4">
        <v>1084</v>
      </c>
      <c r="B1086" s="4" t="str">
        <f>"39712022060109350478498"</f>
        <v>39712022060109350478498</v>
      </c>
      <c r="C1086" s="4" t="s">
        <v>25</v>
      </c>
      <c r="D1086" s="4" t="str">
        <f>"黎佩玉"</f>
        <v>黎佩玉</v>
      </c>
      <c r="E1086" s="4" t="str">
        <f t="shared" si="49"/>
        <v>女</v>
      </c>
    </row>
    <row r="1087" spans="1:5" ht="30" customHeight="1">
      <c r="A1087" s="4">
        <v>1085</v>
      </c>
      <c r="B1087" s="4" t="str">
        <f>"39712022060109372278514"</f>
        <v>39712022060109372278514</v>
      </c>
      <c r="C1087" s="4" t="s">
        <v>25</v>
      </c>
      <c r="D1087" s="4" t="str">
        <f>"刘娜英"</f>
        <v>刘娜英</v>
      </c>
      <c r="E1087" s="4" t="str">
        <f t="shared" si="49"/>
        <v>女</v>
      </c>
    </row>
    <row r="1088" spans="1:5" ht="30" customHeight="1">
      <c r="A1088" s="4">
        <v>1086</v>
      </c>
      <c r="B1088" s="4" t="str">
        <f>"39712022060109375578517"</f>
        <v>39712022060109375578517</v>
      </c>
      <c r="C1088" s="4" t="s">
        <v>25</v>
      </c>
      <c r="D1088" s="4" t="str">
        <f>"李维庭"</f>
        <v>李维庭</v>
      </c>
      <c r="E1088" s="4" t="str">
        <f t="shared" si="49"/>
        <v>女</v>
      </c>
    </row>
    <row r="1089" spans="1:5" ht="30" customHeight="1">
      <c r="A1089" s="4">
        <v>1087</v>
      </c>
      <c r="B1089" s="4" t="str">
        <f>"39712022060109384478527"</f>
        <v>39712022060109384478527</v>
      </c>
      <c r="C1089" s="4" t="s">
        <v>25</v>
      </c>
      <c r="D1089" s="4" t="str">
        <f>"陈慧"</f>
        <v>陈慧</v>
      </c>
      <c r="E1089" s="4" t="str">
        <f t="shared" si="49"/>
        <v>女</v>
      </c>
    </row>
    <row r="1090" spans="1:5" ht="30" customHeight="1">
      <c r="A1090" s="4">
        <v>1088</v>
      </c>
      <c r="B1090" s="4" t="str">
        <f>"39712022060109413578551"</f>
        <v>39712022060109413578551</v>
      </c>
      <c r="C1090" s="4" t="s">
        <v>25</v>
      </c>
      <c r="D1090" s="4" t="str">
        <f>"王丹苗"</f>
        <v>王丹苗</v>
      </c>
      <c r="E1090" s="4" t="str">
        <f t="shared" si="49"/>
        <v>女</v>
      </c>
    </row>
    <row r="1091" spans="1:5" ht="30" customHeight="1">
      <c r="A1091" s="4">
        <v>1089</v>
      </c>
      <c r="B1091" s="4" t="str">
        <f>"39712022060109423678562"</f>
        <v>39712022060109423678562</v>
      </c>
      <c r="C1091" s="4" t="s">
        <v>25</v>
      </c>
      <c r="D1091" s="4" t="str">
        <f>"陈太保"</f>
        <v>陈太保</v>
      </c>
      <c r="E1091" s="4" t="str">
        <f>"男"</f>
        <v>男</v>
      </c>
    </row>
    <row r="1092" spans="1:5" ht="30" customHeight="1">
      <c r="A1092" s="4">
        <v>1090</v>
      </c>
      <c r="B1092" s="4" t="str">
        <f>"39712022060109431278569"</f>
        <v>39712022060109431278569</v>
      </c>
      <c r="C1092" s="4" t="s">
        <v>25</v>
      </c>
      <c r="D1092" s="4" t="str">
        <f>"黎姿"</f>
        <v>黎姿</v>
      </c>
      <c r="E1092" s="4" t="str">
        <f aca="true" t="shared" si="50" ref="E1092:E1104">"女"</f>
        <v>女</v>
      </c>
    </row>
    <row r="1093" spans="1:5" ht="30" customHeight="1">
      <c r="A1093" s="4">
        <v>1091</v>
      </c>
      <c r="B1093" s="4" t="str">
        <f>"39712022060109432678571"</f>
        <v>39712022060109432678571</v>
      </c>
      <c r="C1093" s="4" t="s">
        <v>25</v>
      </c>
      <c r="D1093" s="4" t="str">
        <f>"许婷婷"</f>
        <v>许婷婷</v>
      </c>
      <c r="E1093" s="4" t="str">
        <f t="shared" si="50"/>
        <v>女</v>
      </c>
    </row>
    <row r="1094" spans="1:5" ht="30" customHeight="1">
      <c r="A1094" s="4">
        <v>1092</v>
      </c>
      <c r="B1094" s="4" t="str">
        <f>"39712022060109443578579"</f>
        <v>39712022060109443578579</v>
      </c>
      <c r="C1094" s="4" t="s">
        <v>25</v>
      </c>
      <c r="D1094" s="4" t="str">
        <f>"陈奕妙"</f>
        <v>陈奕妙</v>
      </c>
      <c r="E1094" s="4" t="str">
        <f t="shared" si="50"/>
        <v>女</v>
      </c>
    </row>
    <row r="1095" spans="1:5" ht="30" customHeight="1">
      <c r="A1095" s="4">
        <v>1093</v>
      </c>
      <c r="B1095" s="4" t="str">
        <f>"39712022060109445078580"</f>
        <v>39712022060109445078580</v>
      </c>
      <c r="C1095" s="4" t="s">
        <v>25</v>
      </c>
      <c r="D1095" s="4" t="str">
        <f>"冯蕾"</f>
        <v>冯蕾</v>
      </c>
      <c r="E1095" s="4" t="str">
        <f t="shared" si="50"/>
        <v>女</v>
      </c>
    </row>
    <row r="1096" spans="1:5" ht="30" customHeight="1">
      <c r="A1096" s="4">
        <v>1094</v>
      </c>
      <c r="B1096" s="4" t="str">
        <f>"39712022060109445778582"</f>
        <v>39712022060109445778582</v>
      </c>
      <c r="C1096" s="4" t="s">
        <v>25</v>
      </c>
      <c r="D1096" s="4" t="str">
        <f>"刘一蓉"</f>
        <v>刘一蓉</v>
      </c>
      <c r="E1096" s="4" t="str">
        <f t="shared" si="50"/>
        <v>女</v>
      </c>
    </row>
    <row r="1097" spans="1:5" ht="30" customHeight="1">
      <c r="A1097" s="4">
        <v>1095</v>
      </c>
      <c r="B1097" s="4" t="str">
        <f>"39712022060109473778607"</f>
        <v>39712022060109473778607</v>
      </c>
      <c r="C1097" s="4" t="s">
        <v>25</v>
      </c>
      <c r="D1097" s="4" t="str">
        <f>"韩雅熙"</f>
        <v>韩雅熙</v>
      </c>
      <c r="E1097" s="4" t="str">
        <f t="shared" si="50"/>
        <v>女</v>
      </c>
    </row>
    <row r="1098" spans="1:5" ht="30" customHeight="1">
      <c r="A1098" s="4">
        <v>1096</v>
      </c>
      <c r="B1098" s="4" t="str">
        <f>"39712022060109490778620"</f>
        <v>39712022060109490778620</v>
      </c>
      <c r="C1098" s="4" t="s">
        <v>25</v>
      </c>
      <c r="D1098" s="4" t="str">
        <f>"姚三亚"</f>
        <v>姚三亚</v>
      </c>
      <c r="E1098" s="4" t="str">
        <f t="shared" si="50"/>
        <v>女</v>
      </c>
    </row>
    <row r="1099" spans="1:5" ht="30" customHeight="1">
      <c r="A1099" s="4">
        <v>1097</v>
      </c>
      <c r="B1099" s="4" t="str">
        <f>"39712022060109501578630"</f>
        <v>39712022060109501578630</v>
      </c>
      <c r="C1099" s="4" t="s">
        <v>25</v>
      </c>
      <c r="D1099" s="4" t="str">
        <f>"陈玉环"</f>
        <v>陈玉环</v>
      </c>
      <c r="E1099" s="4" t="str">
        <f t="shared" si="50"/>
        <v>女</v>
      </c>
    </row>
    <row r="1100" spans="1:5" ht="30" customHeight="1">
      <c r="A1100" s="4">
        <v>1098</v>
      </c>
      <c r="B1100" s="4" t="str">
        <f>"39712022060109520378642"</f>
        <v>39712022060109520378642</v>
      </c>
      <c r="C1100" s="4" t="s">
        <v>25</v>
      </c>
      <c r="D1100" s="4" t="str">
        <f>"龚智婷"</f>
        <v>龚智婷</v>
      </c>
      <c r="E1100" s="4" t="str">
        <f t="shared" si="50"/>
        <v>女</v>
      </c>
    </row>
    <row r="1101" spans="1:5" ht="30" customHeight="1">
      <c r="A1101" s="4">
        <v>1099</v>
      </c>
      <c r="B1101" s="4" t="str">
        <f>"39712022060109582478695"</f>
        <v>39712022060109582478695</v>
      </c>
      <c r="C1101" s="4" t="s">
        <v>25</v>
      </c>
      <c r="D1101" s="4" t="str">
        <f>"马海传"</f>
        <v>马海传</v>
      </c>
      <c r="E1101" s="4" t="str">
        <f t="shared" si="50"/>
        <v>女</v>
      </c>
    </row>
    <row r="1102" spans="1:5" ht="30" customHeight="1">
      <c r="A1102" s="4">
        <v>1100</v>
      </c>
      <c r="B1102" s="4" t="str">
        <f>"39712022060109590278703"</f>
        <v>39712022060109590278703</v>
      </c>
      <c r="C1102" s="4" t="s">
        <v>25</v>
      </c>
      <c r="D1102" s="4" t="str">
        <f>"蒙燕倩"</f>
        <v>蒙燕倩</v>
      </c>
      <c r="E1102" s="4" t="str">
        <f t="shared" si="50"/>
        <v>女</v>
      </c>
    </row>
    <row r="1103" spans="1:5" ht="30" customHeight="1">
      <c r="A1103" s="4">
        <v>1101</v>
      </c>
      <c r="B1103" s="4" t="str">
        <f>"39712022060110083878780"</f>
        <v>39712022060110083878780</v>
      </c>
      <c r="C1103" s="4" t="s">
        <v>25</v>
      </c>
      <c r="D1103" s="4" t="str">
        <f>"林怡君"</f>
        <v>林怡君</v>
      </c>
      <c r="E1103" s="4" t="str">
        <f t="shared" si="50"/>
        <v>女</v>
      </c>
    </row>
    <row r="1104" spans="1:5" ht="30" customHeight="1">
      <c r="A1104" s="4">
        <v>1102</v>
      </c>
      <c r="B1104" s="4" t="str">
        <f>"39712022060110090278782"</f>
        <v>39712022060110090278782</v>
      </c>
      <c r="C1104" s="4" t="s">
        <v>25</v>
      </c>
      <c r="D1104" s="4" t="str">
        <f>"文艳娟"</f>
        <v>文艳娟</v>
      </c>
      <c r="E1104" s="4" t="str">
        <f t="shared" si="50"/>
        <v>女</v>
      </c>
    </row>
    <row r="1105" spans="1:5" ht="30" customHeight="1">
      <c r="A1105" s="4">
        <v>1103</v>
      </c>
      <c r="B1105" s="4" t="str">
        <f>"39712022060110104478798"</f>
        <v>39712022060110104478798</v>
      </c>
      <c r="C1105" s="4" t="s">
        <v>25</v>
      </c>
      <c r="D1105" s="4" t="str">
        <f>"梁祖敏"</f>
        <v>梁祖敏</v>
      </c>
      <c r="E1105" s="4" t="str">
        <f>"男"</f>
        <v>男</v>
      </c>
    </row>
    <row r="1106" spans="1:5" ht="30" customHeight="1">
      <c r="A1106" s="4">
        <v>1104</v>
      </c>
      <c r="B1106" s="4" t="str">
        <f>"39712022060110114378811"</f>
        <v>39712022060110114378811</v>
      </c>
      <c r="C1106" s="4" t="s">
        <v>25</v>
      </c>
      <c r="D1106" s="4" t="str">
        <f>"吴王梅"</f>
        <v>吴王梅</v>
      </c>
      <c r="E1106" s="4" t="str">
        <f aca="true" t="shared" si="51" ref="E1106:E1112">"女"</f>
        <v>女</v>
      </c>
    </row>
    <row r="1107" spans="1:5" ht="30" customHeight="1">
      <c r="A1107" s="4">
        <v>1105</v>
      </c>
      <c r="B1107" s="4" t="str">
        <f>"39712022060110161878839"</f>
        <v>39712022060110161878839</v>
      </c>
      <c r="C1107" s="4" t="s">
        <v>25</v>
      </c>
      <c r="D1107" s="4" t="str">
        <f>"吴昭慧"</f>
        <v>吴昭慧</v>
      </c>
      <c r="E1107" s="4" t="str">
        <f t="shared" si="51"/>
        <v>女</v>
      </c>
    </row>
    <row r="1108" spans="1:5" ht="30" customHeight="1">
      <c r="A1108" s="4">
        <v>1106</v>
      </c>
      <c r="B1108" s="4" t="str">
        <f>"39712022060110194378866"</f>
        <v>39712022060110194378866</v>
      </c>
      <c r="C1108" s="4" t="s">
        <v>25</v>
      </c>
      <c r="D1108" s="4" t="str">
        <f>"云茹"</f>
        <v>云茹</v>
      </c>
      <c r="E1108" s="4" t="str">
        <f t="shared" si="51"/>
        <v>女</v>
      </c>
    </row>
    <row r="1109" spans="1:5" ht="30" customHeight="1">
      <c r="A1109" s="4">
        <v>1107</v>
      </c>
      <c r="B1109" s="4" t="str">
        <f>"39712022060110210078875"</f>
        <v>39712022060110210078875</v>
      </c>
      <c r="C1109" s="4" t="s">
        <v>25</v>
      </c>
      <c r="D1109" s="4" t="str">
        <f>"郑叶"</f>
        <v>郑叶</v>
      </c>
      <c r="E1109" s="4" t="str">
        <f t="shared" si="51"/>
        <v>女</v>
      </c>
    </row>
    <row r="1110" spans="1:5" ht="30" customHeight="1">
      <c r="A1110" s="4">
        <v>1108</v>
      </c>
      <c r="B1110" s="4" t="str">
        <f>"39712022060110223478888"</f>
        <v>39712022060110223478888</v>
      </c>
      <c r="C1110" s="4" t="s">
        <v>25</v>
      </c>
      <c r="D1110" s="4" t="str">
        <f>"张丹婷"</f>
        <v>张丹婷</v>
      </c>
      <c r="E1110" s="4" t="str">
        <f t="shared" si="51"/>
        <v>女</v>
      </c>
    </row>
    <row r="1111" spans="1:5" ht="30" customHeight="1">
      <c r="A1111" s="4">
        <v>1109</v>
      </c>
      <c r="B1111" s="4" t="str">
        <f>"39712022060110241978908"</f>
        <v>39712022060110241978908</v>
      </c>
      <c r="C1111" s="4" t="s">
        <v>25</v>
      </c>
      <c r="D1111" s="4" t="str">
        <f>"杨井桑"</f>
        <v>杨井桑</v>
      </c>
      <c r="E1111" s="4" t="str">
        <f t="shared" si="51"/>
        <v>女</v>
      </c>
    </row>
    <row r="1112" spans="1:5" ht="30" customHeight="1">
      <c r="A1112" s="4">
        <v>1110</v>
      </c>
      <c r="B1112" s="4" t="str">
        <f>"39712022060110251878916"</f>
        <v>39712022060110251878916</v>
      </c>
      <c r="C1112" s="4" t="s">
        <v>25</v>
      </c>
      <c r="D1112" s="4" t="str">
        <f>"陆凌英"</f>
        <v>陆凌英</v>
      </c>
      <c r="E1112" s="4" t="str">
        <f t="shared" si="51"/>
        <v>女</v>
      </c>
    </row>
    <row r="1113" spans="1:5" ht="30" customHeight="1">
      <c r="A1113" s="4">
        <v>1111</v>
      </c>
      <c r="B1113" s="4" t="str">
        <f>"39712022060110294678952"</f>
        <v>39712022060110294678952</v>
      </c>
      <c r="C1113" s="4" t="s">
        <v>25</v>
      </c>
      <c r="D1113" s="4" t="str">
        <f>"宋宏阳"</f>
        <v>宋宏阳</v>
      </c>
      <c r="E1113" s="4" t="str">
        <f>"男"</f>
        <v>男</v>
      </c>
    </row>
    <row r="1114" spans="1:5" ht="30" customHeight="1">
      <c r="A1114" s="4">
        <v>1112</v>
      </c>
      <c r="B1114" s="4" t="str">
        <f>"39712022060110301278957"</f>
        <v>39712022060110301278957</v>
      </c>
      <c r="C1114" s="4" t="s">
        <v>25</v>
      </c>
      <c r="D1114" s="4" t="str">
        <f>"黄贻凤"</f>
        <v>黄贻凤</v>
      </c>
      <c r="E1114" s="4" t="str">
        <f aca="true" t="shared" si="52" ref="E1114:E1122">"女"</f>
        <v>女</v>
      </c>
    </row>
    <row r="1115" spans="1:5" ht="30" customHeight="1">
      <c r="A1115" s="4">
        <v>1113</v>
      </c>
      <c r="B1115" s="4" t="str">
        <f>"39712022060110304978961"</f>
        <v>39712022060110304978961</v>
      </c>
      <c r="C1115" s="4" t="s">
        <v>25</v>
      </c>
      <c r="D1115" s="4" t="str">
        <f>"林梦婷"</f>
        <v>林梦婷</v>
      </c>
      <c r="E1115" s="4" t="str">
        <f t="shared" si="52"/>
        <v>女</v>
      </c>
    </row>
    <row r="1116" spans="1:5" ht="30" customHeight="1">
      <c r="A1116" s="4">
        <v>1114</v>
      </c>
      <c r="B1116" s="4" t="str">
        <f>"39712022060110324178980"</f>
        <v>39712022060110324178980</v>
      </c>
      <c r="C1116" s="4" t="s">
        <v>25</v>
      </c>
      <c r="D1116" s="4" t="str">
        <f>"黄丽"</f>
        <v>黄丽</v>
      </c>
      <c r="E1116" s="4" t="str">
        <f t="shared" si="52"/>
        <v>女</v>
      </c>
    </row>
    <row r="1117" spans="1:5" ht="30" customHeight="1">
      <c r="A1117" s="4">
        <v>1115</v>
      </c>
      <c r="B1117" s="4" t="str">
        <f>"39712022060110335878991"</f>
        <v>39712022060110335878991</v>
      </c>
      <c r="C1117" s="4" t="s">
        <v>25</v>
      </c>
      <c r="D1117" s="4" t="str">
        <f>"陈玉蕾"</f>
        <v>陈玉蕾</v>
      </c>
      <c r="E1117" s="4" t="str">
        <f t="shared" si="52"/>
        <v>女</v>
      </c>
    </row>
    <row r="1118" spans="1:5" ht="30" customHeight="1">
      <c r="A1118" s="4">
        <v>1116</v>
      </c>
      <c r="B1118" s="4" t="str">
        <f>"39712022060110343178993"</f>
        <v>39712022060110343178993</v>
      </c>
      <c r="C1118" s="4" t="s">
        <v>25</v>
      </c>
      <c r="D1118" s="4" t="str">
        <f>"叶咪咪"</f>
        <v>叶咪咪</v>
      </c>
      <c r="E1118" s="4" t="str">
        <f t="shared" si="52"/>
        <v>女</v>
      </c>
    </row>
    <row r="1119" spans="1:5" ht="30" customHeight="1">
      <c r="A1119" s="4">
        <v>1117</v>
      </c>
      <c r="B1119" s="4" t="str">
        <f>"39712022060110350678996"</f>
        <v>39712022060110350678996</v>
      </c>
      <c r="C1119" s="4" t="s">
        <v>25</v>
      </c>
      <c r="D1119" s="4" t="str">
        <f>"孔芙先"</f>
        <v>孔芙先</v>
      </c>
      <c r="E1119" s="4" t="str">
        <f t="shared" si="52"/>
        <v>女</v>
      </c>
    </row>
    <row r="1120" spans="1:5" ht="30" customHeight="1">
      <c r="A1120" s="4">
        <v>1118</v>
      </c>
      <c r="B1120" s="4" t="str">
        <f>"39712022060110392679026"</f>
        <v>39712022060110392679026</v>
      </c>
      <c r="C1120" s="4" t="s">
        <v>25</v>
      </c>
      <c r="D1120" s="4" t="str">
        <f>"孙余"</f>
        <v>孙余</v>
      </c>
      <c r="E1120" s="4" t="str">
        <f t="shared" si="52"/>
        <v>女</v>
      </c>
    </row>
    <row r="1121" spans="1:5" ht="30" customHeight="1">
      <c r="A1121" s="4">
        <v>1119</v>
      </c>
      <c r="B1121" s="4" t="str">
        <f>"39712022060110411279038"</f>
        <v>39712022060110411279038</v>
      </c>
      <c r="C1121" s="4" t="s">
        <v>25</v>
      </c>
      <c r="D1121" s="4" t="str">
        <f>"邱媛"</f>
        <v>邱媛</v>
      </c>
      <c r="E1121" s="4" t="str">
        <f t="shared" si="52"/>
        <v>女</v>
      </c>
    </row>
    <row r="1122" spans="1:5" ht="30" customHeight="1">
      <c r="A1122" s="4">
        <v>1120</v>
      </c>
      <c r="B1122" s="4" t="str">
        <f>"39712022060110412679042"</f>
        <v>39712022060110412679042</v>
      </c>
      <c r="C1122" s="4" t="s">
        <v>25</v>
      </c>
      <c r="D1122" s="4" t="str">
        <f>"许桂英"</f>
        <v>许桂英</v>
      </c>
      <c r="E1122" s="4" t="str">
        <f t="shared" si="52"/>
        <v>女</v>
      </c>
    </row>
    <row r="1123" spans="1:5" ht="30" customHeight="1">
      <c r="A1123" s="4">
        <v>1121</v>
      </c>
      <c r="B1123" s="4" t="str">
        <f>"39712022060110414079047"</f>
        <v>39712022060110414079047</v>
      </c>
      <c r="C1123" s="4" t="s">
        <v>25</v>
      </c>
      <c r="D1123" s="4" t="str">
        <f>"周世仕"</f>
        <v>周世仕</v>
      </c>
      <c r="E1123" s="4" t="str">
        <f>"男"</f>
        <v>男</v>
      </c>
    </row>
    <row r="1124" spans="1:5" ht="30" customHeight="1">
      <c r="A1124" s="4">
        <v>1122</v>
      </c>
      <c r="B1124" s="4" t="str">
        <f>"39712022060110445779071"</f>
        <v>39712022060110445779071</v>
      </c>
      <c r="C1124" s="4" t="s">
        <v>25</v>
      </c>
      <c r="D1124" s="4" t="str">
        <f>"刘玥"</f>
        <v>刘玥</v>
      </c>
      <c r="E1124" s="4" t="str">
        <f aca="true" t="shared" si="53" ref="E1124:E1141">"女"</f>
        <v>女</v>
      </c>
    </row>
    <row r="1125" spans="1:5" ht="30" customHeight="1">
      <c r="A1125" s="4">
        <v>1123</v>
      </c>
      <c r="B1125" s="4" t="str">
        <f>"39712022060110460579079"</f>
        <v>39712022060110460579079</v>
      </c>
      <c r="C1125" s="4" t="s">
        <v>25</v>
      </c>
      <c r="D1125" s="4" t="str">
        <f>"周玉清"</f>
        <v>周玉清</v>
      </c>
      <c r="E1125" s="4" t="str">
        <f t="shared" si="53"/>
        <v>女</v>
      </c>
    </row>
    <row r="1126" spans="1:5" ht="30" customHeight="1">
      <c r="A1126" s="4">
        <v>1124</v>
      </c>
      <c r="B1126" s="4" t="str">
        <f>"39712022060110471179088"</f>
        <v>39712022060110471179088</v>
      </c>
      <c r="C1126" s="4" t="s">
        <v>25</v>
      </c>
      <c r="D1126" s="4" t="str">
        <f>"王冲"</f>
        <v>王冲</v>
      </c>
      <c r="E1126" s="4" t="str">
        <f t="shared" si="53"/>
        <v>女</v>
      </c>
    </row>
    <row r="1127" spans="1:5" ht="30" customHeight="1">
      <c r="A1127" s="4">
        <v>1125</v>
      </c>
      <c r="B1127" s="4" t="str">
        <f>"39712022060110494379113"</f>
        <v>39712022060110494379113</v>
      </c>
      <c r="C1127" s="4" t="s">
        <v>25</v>
      </c>
      <c r="D1127" s="4" t="str">
        <f>"吴小敏"</f>
        <v>吴小敏</v>
      </c>
      <c r="E1127" s="4" t="str">
        <f t="shared" si="53"/>
        <v>女</v>
      </c>
    </row>
    <row r="1128" spans="1:5" ht="30" customHeight="1">
      <c r="A1128" s="4">
        <v>1126</v>
      </c>
      <c r="B1128" s="4" t="str">
        <f>"39712022060110533479136"</f>
        <v>39712022060110533479136</v>
      </c>
      <c r="C1128" s="4" t="s">
        <v>25</v>
      </c>
      <c r="D1128" s="4" t="str">
        <f>"王秋波"</f>
        <v>王秋波</v>
      </c>
      <c r="E1128" s="4" t="str">
        <f t="shared" si="53"/>
        <v>女</v>
      </c>
    </row>
    <row r="1129" spans="1:5" ht="30" customHeight="1">
      <c r="A1129" s="4">
        <v>1127</v>
      </c>
      <c r="B1129" s="4" t="str">
        <f>"39712022060110565879164"</f>
        <v>39712022060110565879164</v>
      </c>
      <c r="C1129" s="4" t="s">
        <v>25</v>
      </c>
      <c r="D1129" s="4" t="str">
        <f>"陈小丽"</f>
        <v>陈小丽</v>
      </c>
      <c r="E1129" s="4" t="str">
        <f t="shared" si="53"/>
        <v>女</v>
      </c>
    </row>
    <row r="1130" spans="1:5" ht="30" customHeight="1">
      <c r="A1130" s="4">
        <v>1128</v>
      </c>
      <c r="B1130" s="4" t="str">
        <f>"39712022060110572779168"</f>
        <v>39712022060110572779168</v>
      </c>
      <c r="C1130" s="4" t="s">
        <v>25</v>
      </c>
      <c r="D1130" s="4" t="str">
        <f>"李文琦"</f>
        <v>李文琦</v>
      </c>
      <c r="E1130" s="4" t="str">
        <f t="shared" si="53"/>
        <v>女</v>
      </c>
    </row>
    <row r="1131" spans="1:5" ht="30" customHeight="1">
      <c r="A1131" s="4">
        <v>1129</v>
      </c>
      <c r="B1131" s="4" t="str">
        <f>"39712022060110592079187"</f>
        <v>39712022060110592079187</v>
      </c>
      <c r="C1131" s="4" t="s">
        <v>25</v>
      </c>
      <c r="D1131" s="4" t="str">
        <f>"王烨"</f>
        <v>王烨</v>
      </c>
      <c r="E1131" s="4" t="str">
        <f t="shared" si="53"/>
        <v>女</v>
      </c>
    </row>
    <row r="1132" spans="1:5" ht="30" customHeight="1">
      <c r="A1132" s="4">
        <v>1130</v>
      </c>
      <c r="B1132" s="4" t="str">
        <f>"39712022060111042979225"</f>
        <v>39712022060111042979225</v>
      </c>
      <c r="C1132" s="4" t="s">
        <v>25</v>
      </c>
      <c r="D1132" s="4" t="str">
        <f>"符芳莉"</f>
        <v>符芳莉</v>
      </c>
      <c r="E1132" s="4" t="str">
        <f t="shared" si="53"/>
        <v>女</v>
      </c>
    </row>
    <row r="1133" spans="1:5" ht="30" customHeight="1">
      <c r="A1133" s="4">
        <v>1131</v>
      </c>
      <c r="B1133" s="4" t="str">
        <f>"39712022060111104279285"</f>
        <v>39712022060111104279285</v>
      </c>
      <c r="C1133" s="4" t="s">
        <v>25</v>
      </c>
      <c r="D1133" s="4" t="str">
        <f>"王春住"</f>
        <v>王春住</v>
      </c>
      <c r="E1133" s="4" t="str">
        <f t="shared" si="53"/>
        <v>女</v>
      </c>
    </row>
    <row r="1134" spans="1:5" ht="30" customHeight="1">
      <c r="A1134" s="4">
        <v>1132</v>
      </c>
      <c r="B1134" s="4" t="str">
        <f>"39712022060111120079292"</f>
        <v>39712022060111120079292</v>
      </c>
      <c r="C1134" s="4" t="s">
        <v>25</v>
      </c>
      <c r="D1134" s="4" t="str">
        <f>"许时花"</f>
        <v>许时花</v>
      </c>
      <c r="E1134" s="4" t="str">
        <f t="shared" si="53"/>
        <v>女</v>
      </c>
    </row>
    <row r="1135" spans="1:5" ht="30" customHeight="1">
      <c r="A1135" s="4">
        <v>1133</v>
      </c>
      <c r="B1135" s="4" t="str">
        <f>"39712022060111140979305"</f>
        <v>39712022060111140979305</v>
      </c>
      <c r="C1135" s="4" t="s">
        <v>25</v>
      </c>
      <c r="D1135" s="4" t="str">
        <f>"陈媛媛"</f>
        <v>陈媛媛</v>
      </c>
      <c r="E1135" s="4" t="str">
        <f t="shared" si="53"/>
        <v>女</v>
      </c>
    </row>
    <row r="1136" spans="1:5" ht="30" customHeight="1">
      <c r="A1136" s="4">
        <v>1134</v>
      </c>
      <c r="B1136" s="4" t="str">
        <f>"39712022060111171979333"</f>
        <v>39712022060111171979333</v>
      </c>
      <c r="C1136" s="4" t="s">
        <v>25</v>
      </c>
      <c r="D1136" s="4" t="str">
        <f>"麦昌妹"</f>
        <v>麦昌妹</v>
      </c>
      <c r="E1136" s="4" t="str">
        <f t="shared" si="53"/>
        <v>女</v>
      </c>
    </row>
    <row r="1137" spans="1:5" ht="30" customHeight="1">
      <c r="A1137" s="4">
        <v>1135</v>
      </c>
      <c r="B1137" s="4" t="str">
        <f>"39712022060111181979343"</f>
        <v>39712022060111181979343</v>
      </c>
      <c r="C1137" s="4" t="s">
        <v>25</v>
      </c>
      <c r="D1137" s="4" t="str">
        <f>"刘新宁"</f>
        <v>刘新宁</v>
      </c>
      <c r="E1137" s="4" t="str">
        <f t="shared" si="53"/>
        <v>女</v>
      </c>
    </row>
    <row r="1138" spans="1:5" ht="30" customHeight="1">
      <c r="A1138" s="4">
        <v>1136</v>
      </c>
      <c r="B1138" s="4" t="str">
        <f>"39712022060111190379348"</f>
        <v>39712022060111190379348</v>
      </c>
      <c r="C1138" s="4" t="s">
        <v>25</v>
      </c>
      <c r="D1138" s="4" t="str">
        <f>"王丽"</f>
        <v>王丽</v>
      </c>
      <c r="E1138" s="4" t="str">
        <f t="shared" si="53"/>
        <v>女</v>
      </c>
    </row>
    <row r="1139" spans="1:5" ht="30" customHeight="1">
      <c r="A1139" s="4">
        <v>1137</v>
      </c>
      <c r="B1139" s="4" t="str">
        <f>"39712022060111200379353"</f>
        <v>39712022060111200379353</v>
      </c>
      <c r="C1139" s="4" t="s">
        <v>25</v>
      </c>
      <c r="D1139" s="4" t="str">
        <f>"谢海敏"</f>
        <v>谢海敏</v>
      </c>
      <c r="E1139" s="4" t="str">
        <f t="shared" si="53"/>
        <v>女</v>
      </c>
    </row>
    <row r="1140" spans="1:5" ht="30" customHeight="1">
      <c r="A1140" s="4">
        <v>1138</v>
      </c>
      <c r="B1140" s="4" t="str">
        <f>"39712022060111214779366"</f>
        <v>39712022060111214779366</v>
      </c>
      <c r="C1140" s="4" t="s">
        <v>25</v>
      </c>
      <c r="D1140" s="4" t="str">
        <f>"钟瑶"</f>
        <v>钟瑶</v>
      </c>
      <c r="E1140" s="4" t="str">
        <f t="shared" si="53"/>
        <v>女</v>
      </c>
    </row>
    <row r="1141" spans="1:5" ht="30" customHeight="1">
      <c r="A1141" s="4">
        <v>1139</v>
      </c>
      <c r="B1141" s="4" t="str">
        <f>"39712022060111220379368"</f>
        <v>39712022060111220379368</v>
      </c>
      <c r="C1141" s="4" t="s">
        <v>25</v>
      </c>
      <c r="D1141" s="4" t="str">
        <f>"李春雨"</f>
        <v>李春雨</v>
      </c>
      <c r="E1141" s="4" t="str">
        <f t="shared" si="53"/>
        <v>女</v>
      </c>
    </row>
    <row r="1142" spans="1:5" ht="30" customHeight="1">
      <c r="A1142" s="4">
        <v>1140</v>
      </c>
      <c r="B1142" s="4" t="str">
        <f>"39712022060111223879374"</f>
        <v>39712022060111223879374</v>
      </c>
      <c r="C1142" s="4" t="s">
        <v>25</v>
      </c>
      <c r="D1142" s="4" t="str">
        <f>"韩伟伟"</f>
        <v>韩伟伟</v>
      </c>
      <c r="E1142" s="4" t="str">
        <f>"男"</f>
        <v>男</v>
      </c>
    </row>
    <row r="1143" spans="1:5" ht="30" customHeight="1">
      <c r="A1143" s="4">
        <v>1141</v>
      </c>
      <c r="B1143" s="4" t="str">
        <f>"39712022060111233779378"</f>
        <v>39712022060111233779378</v>
      </c>
      <c r="C1143" s="4" t="s">
        <v>25</v>
      </c>
      <c r="D1143" s="4" t="str">
        <f>"潘冬蓉"</f>
        <v>潘冬蓉</v>
      </c>
      <c r="E1143" s="4" t="str">
        <f aca="true" t="shared" si="54" ref="E1143:E1148">"女"</f>
        <v>女</v>
      </c>
    </row>
    <row r="1144" spans="1:5" ht="30" customHeight="1">
      <c r="A1144" s="4">
        <v>1142</v>
      </c>
      <c r="B1144" s="4" t="str">
        <f>"39712022060111243279385"</f>
        <v>39712022060111243279385</v>
      </c>
      <c r="C1144" s="4" t="s">
        <v>25</v>
      </c>
      <c r="D1144" s="4" t="str">
        <f>"曾秀燕"</f>
        <v>曾秀燕</v>
      </c>
      <c r="E1144" s="4" t="str">
        <f t="shared" si="54"/>
        <v>女</v>
      </c>
    </row>
    <row r="1145" spans="1:5" ht="30" customHeight="1">
      <c r="A1145" s="4">
        <v>1143</v>
      </c>
      <c r="B1145" s="4" t="str">
        <f>"39712022060111245079388"</f>
        <v>39712022060111245079388</v>
      </c>
      <c r="C1145" s="4" t="s">
        <v>25</v>
      </c>
      <c r="D1145" s="4" t="str">
        <f>"王娟"</f>
        <v>王娟</v>
      </c>
      <c r="E1145" s="4" t="str">
        <f t="shared" si="54"/>
        <v>女</v>
      </c>
    </row>
    <row r="1146" spans="1:5" ht="30" customHeight="1">
      <c r="A1146" s="4">
        <v>1144</v>
      </c>
      <c r="B1146" s="4" t="str">
        <f>"39712022060111254079393"</f>
        <v>39712022060111254079393</v>
      </c>
      <c r="C1146" s="4" t="s">
        <v>25</v>
      </c>
      <c r="D1146" s="4" t="str">
        <f>"李慧"</f>
        <v>李慧</v>
      </c>
      <c r="E1146" s="4" t="str">
        <f t="shared" si="54"/>
        <v>女</v>
      </c>
    </row>
    <row r="1147" spans="1:5" ht="30" customHeight="1">
      <c r="A1147" s="4">
        <v>1145</v>
      </c>
      <c r="B1147" s="4" t="str">
        <f>"39712022060111254679394"</f>
        <v>39712022060111254679394</v>
      </c>
      <c r="C1147" s="4" t="s">
        <v>25</v>
      </c>
      <c r="D1147" s="4" t="str">
        <f>"邓春燕"</f>
        <v>邓春燕</v>
      </c>
      <c r="E1147" s="4" t="str">
        <f t="shared" si="54"/>
        <v>女</v>
      </c>
    </row>
    <row r="1148" spans="1:5" ht="30" customHeight="1">
      <c r="A1148" s="4">
        <v>1146</v>
      </c>
      <c r="B1148" s="4" t="str">
        <f>"39712022060111292779419"</f>
        <v>39712022060111292779419</v>
      </c>
      <c r="C1148" s="4" t="s">
        <v>25</v>
      </c>
      <c r="D1148" s="4" t="str">
        <f>"陈雨倩"</f>
        <v>陈雨倩</v>
      </c>
      <c r="E1148" s="4" t="str">
        <f t="shared" si="54"/>
        <v>女</v>
      </c>
    </row>
    <row r="1149" spans="1:5" ht="30" customHeight="1">
      <c r="A1149" s="4">
        <v>1147</v>
      </c>
      <c r="B1149" s="4" t="str">
        <f>"39712022060111324979455"</f>
        <v>39712022060111324979455</v>
      </c>
      <c r="C1149" s="4" t="s">
        <v>25</v>
      </c>
      <c r="D1149" s="4" t="str">
        <f>"孔祥楠"</f>
        <v>孔祥楠</v>
      </c>
      <c r="E1149" s="4" t="str">
        <f>"男"</f>
        <v>男</v>
      </c>
    </row>
    <row r="1150" spans="1:5" ht="30" customHeight="1">
      <c r="A1150" s="4">
        <v>1148</v>
      </c>
      <c r="B1150" s="4" t="str">
        <f>"39712022060111374979487"</f>
        <v>39712022060111374979487</v>
      </c>
      <c r="C1150" s="4" t="s">
        <v>25</v>
      </c>
      <c r="D1150" s="4" t="str">
        <f>"王来环"</f>
        <v>王来环</v>
      </c>
      <c r="E1150" s="4" t="str">
        <f aca="true" t="shared" si="55" ref="E1150:E1159">"女"</f>
        <v>女</v>
      </c>
    </row>
    <row r="1151" spans="1:5" ht="30" customHeight="1">
      <c r="A1151" s="4">
        <v>1149</v>
      </c>
      <c r="B1151" s="4" t="str">
        <f>"39712022060111393079498"</f>
        <v>39712022060111393079498</v>
      </c>
      <c r="C1151" s="4" t="s">
        <v>25</v>
      </c>
      <c r="D1151" s="4" t="str">
        <f>"王娴"</f>
        <v>王娴</v>
      </c>
      <c r="E1151" s="4" t="str">
        <f t="shared" si="55"/>
        <v>女</v>
      </c>
    </row>
    <row r="1152" spans="1:5" ht="30" customHeight="1">
      <c r="A1152" s="4">
        <v>1150</v>
      </c>
      <c r="B1152" s="4" t="str">
        <f>"39712022060111422979511"</f>
        <v>39712022060111422979511</v>
      </c>
      <c r="C1152" s="4" t="s">
        <v>25</v>
      </c>
      <c r="D1152" s="4" t="str">
        <f>"王心莹"</f>
        <v>王心莹</v>
      </c>
      <c r="E1152" s="4" t="str">
        <f t="shared" si="55"/>
        <v>女</v>
      </c>
    </row>
    <row r="1153" spans="1:5" ht="30" customHeight="1">
      <c r="A1153" s="4">
        <v>1151</v>
      </c>
      <c r="B1153" s="4" t="str">
        <f>"39712022060111455779524"</f>
        <v>39712022060111455779524</v>
      </c>
      <c r="C1153" s="4" t="s">
        <v>25</v>
      </c>
      <c r="D1153" s="4" t="str">
        <f>"朱娟葵"</f>
        <v>朱娟葵</v>
      </c>
      <c r="E1153" s="4" t="str">
        <f t="shared" si="55"/>
        <v>女</v>
      </c>
    </row>
    <row r="1154" spans="1:5" ht="30" customHeight="1">
      <c r="A1154" s="4">
        <v>1152</v>
      </c>
      <c r="B1154" s="4" t="str">
        <f>"39712022060111460179525"</f>
        <v>39712022060111460179525</v>
      </c>
      <c r="C1154" s="4" t="s">
        <v>25</v>
      </c>
      <c r="D1154" s="4" t="str">
        <f>"邓雪桃"</f>
        <v>邓雪桃</v>
      </c>
      <c r="E1154" s="4" t="str">
        <f t="shared" si="55"/>
        <v>女</v>
      </c>
    </row>
    <row r="1155" spans="1:5" ht="30" customHeight="1">
      <c r="A1155" s="4">
        <v>1153</v>
      </c>
      <c r="B1155" s="4" t="str">
        <f>"39712022060111510079550"</f>
        <v>39712022060111510079550</v>
      </c>
      <c r="C1155" s="4" t="s">
        <v>25</v>
      </c>
      <c r="D1155" s="4" t="str">
        <f>"符暖"</f>
        <v>符暖</v>
      </c>
      <c r="E1155" s="4" t="str">
        <f t="shared" si="55"/>
        <v>女</v>
      </c>
    </row>
    <row r="1156" spans="1:5" ht="30" customHeight="1">
      <c r="A1156" s="4">
        <v>1154</v>
      </c>
      <c r="B1156" s="4" t="str">
        <f>"39712022060111513579558"</f>
        <v>39712022060111513579558</v>
      </c>
      <c r="C1156" s="4" t="s">
        <v>25</v>
      </c>
      <c r="D1156" s="4" t="str">
        <f>"张宝月"</f>
        <v>张宝月</v>
      </c>
      <c r="E1156" s="4" t="str">
        <f t="shared" si="55"/>
        <v>女</v>
      </c>
    </row>
    <row r="1157" spans="1:5" ht="30" customHeight="1">
      <c r="A1157" s="4">
        <v>1155</v>
      </c>
      <c r="B1157" s="4" t="str">
        <f>"39712022060111540279568"</f>
        <v>39712022060111540279568</v>
      </c>
      <c r="C1157" s="4" t="s">
        <v>25</v>
      </c>
      <c r="D1157" s="4" t="str">
        <f>"高铭"</f>
        <v>高铭</v>
      </c>
      <c r="E1157" s="4" t="str">
        <f t="shared" si="55"/>
        <v>女</v>
      </c>
    </row>
    <row r="1158" spans="1:5" ht="30" customHeight="1">
      <c r="A1158" s="4">
        <v>1156</v>
      </c>
      <c r="B1158" s="4" t="str">
        <f>"39712022060112003479601"</f>
        <v>39712022060112003479601</v>
      </c>
      <c r="C1158" s="4" t="s">
        <v>25</v>
      </c>
      <c r="D1158" s="4" t="str">
        <f>"高学寒"</f>
        <v>高学寒</v>
      </c>
      <c r="E1158" s="4" t="str">
        <f t="shared" si="55"/>
        <v>女</v>
      </c>
    </row>
    <row r="1159" spans="1:5" ht="30" customHeight="1">
      <c r="A1159" s="4">
        <v>1157</v>
      </c>
      <c r="B1159" s="4" t="str">
        <f>"39712022060112015679608"</f>
        <v>39712022060112015679608</v>
      </c>
      <c r="C1159" s="4" t="s">
        <v>25</v>
      </c>
      <c r="D1159" s="4" t="str">
        <f>"钟家芬"</f>
        <v>钟家芬</v>
      </c>
      <c r="E1159" s="4" t="str">
        <f t="shared" si="55"/>
        <v>女</v>
      </c>
    </row>
    <row r="1160" spans="1:5" ht="30" customHeight="1">
      <c r="A1160" s="4">
        <v>1158</v>
      </c>
      <c r="B1160" s="4" t="str">
        <f>"39712022060112030179613"</f>
        <v>39712022060112030179613</v>
      </c>
      <c r="C1160" s="4" t="s">
        <v>25</v>
      </c>
      <c r="D1160" s="4" t="str">
        <f>"李光祥"</f>
        <v>李光祥</v>
      </c>
      <c r="E1160" s="4" t="str">
        <f>"男"</f>
        <v>男</v>
      </c>
    </row>
    <row r="1161" spans="1:5" ht="30" customHeight="1">
      <c r="A1161" s="4">
        <v>1159</v>
      </c>
      <c r="B1161" s="4" t="str">
        <f>"39712022060112070079631"</f>
        <v>39712022060112070079631</v>
      </c>
      <c r="C1161" s="4" t="s">
        <v>25</v>
      </c>
      <c r="D1161" s="4" t="str">
        <f>"陈新颖"</f>
        <v>陈新颖</v>
      </c>
      <c r="E1161" s="4" t="str">
        <f>"女"</f>
        <v>女</v>
      </c>
    </row>
    <row r="1162" spans="1:5" ht="30" customHeight="1">
      <c r="A1162" s="4">
        <v>1160</v>
      </c>
      <c r="B1162" s="4" t="str">
        <f>"39712022060112085579644"</f>
        <v>39712022060112085579644</v>
      </c>
      <c r="C1162" s="4" t="s">
        <v>25</v>
      </c>
      <c r="D1162" s="4" t="str">
        <f>"符月灿"</f>
        <v>符月灿</v>
      </c>
      <c r="E1162" s="4" t="str">
        <f>"女"</f>
        <v>女</v>
      </c>
    </row>
    <row r="1163" spans="1:5" ht="30" customHeight="1">
      <c r="A1163" s="4">
        <v>1161</v>
      </c>
      <c r="B1163" s="4" t="str">
        <f>"39712022060112100079651"</f>
        <v>39712022060112100079651</v>
      </c>
      <c r="C1163" s="4" t="s">
        <v>25</v>
      </c>
      <c r="D1163" s="4" t="str">
        <f>"王欢"</f>
        <v>王欢</v>
      </c>
      <c r="E1163" s="4" t="str">
        <f>"女"</f>
        <v>女</v>
      </c>
    </row>
    <row r="1164" spans="1:5" ht="30" customHeight="1">
      <c r="A1164" s="4">
        <v>1162</v>
      </c>
      <c r="B1164" s="4" t="str">
        <f>"39712022060112152379682"</f>
        <v>39712022060112152379682</v>
      </c>
      <c r="C1164" s="4" t="s">
        <v>25</v>
      </c>
      <c r="D1164" s="4" t="str">
        <f>"王媚婷"</f>
        <v>王媚婷</v>
      </c>
      <c r="E1164" s="4" t="str">
        <f>"女"</f>
        <v>女</v>
      </c>
    </row>
    <row r="1165" spans="1:5" ht="30" customHeight="1">
      <c r="A1165" s="4">
        <v>1163</v>
      </c>
      <c r="B1165" s="4" t="str">
        <f>"39712022060112153279685"</f>
        <v>39712022060112153279685</v>
      </c>
      <c r="C1165" s="4" t="s">
        <v>25</v>
      </c>
      <c r="D1165" s="4" t="str">
        <f>"郭枝茂"</f>
        <v>郭枝茂</v>
      </c>
      <c r="E1165" s="4" t="str">
        <f>"男"</f>
        <v>男</v>
      </c>
    </row>
    <row r="1166" spans="1:5" ht="30" customHeight="1">
      <c r="A1166" s="4">
        <v>1164</v>
      </c>
      <c r="B1166" s="4" t="str">
        <f>"39712022060112193479706"</f>
        <v>39712022060112193479706</v>
      </c>
      <c r="C1166" s="4" t="s">
        <v>25</v>
      </c>
      <c r="D1166" s="4" t="str">
        <f>"卢文静"</f>
        <v>卢文静</v>
      </c>
      <c r="E1166" s="4" t="str">
        <f>"女"</f>
        <v>女</v>
      </c>
    </row>
    <row r="1167" spans="1:5" ht="30" customHeight="1">
      <c r="A1167" s="4">
        <v>1165</v>
      </c>
      <c r="B1167" s="4" t="str">
        <f>"39712022060112292479750"</f>
        <v>39712022060112292479750</v>
      </c>
      <c r="C1167" s="4" t="s">
        <v>25</v>
      </c>
      <c r="D1167" s="4" t="str">
        <f>"符孟文"</f>
        <v>符孟文</v>
      </c>
      <c r="E1167" s="4" t="str">
        <f>"男"</f>
        <v>男</v>
      </c>
    </row>
    <row r="1168" spans="1:5" ht="30" customHeight="1">
      <c r="A1168" s="4">
        <v>1166</v>
      </c>
      <c r="B1168" s="4" t="str">
        <f>"39712022060112310779765"</f>
        <v>39712022060112310779765</v>
      </c>
      <c r="C1168" s="4" t="s">
        <v>25</v>
      </c>
      <c r="D1168" s="4" t="str">
        <f>"陈英华"</f>
        <v>陈英华</v>
      </c>
      <c r="E1168" s="4" t="str">
        <f>"女"</f>
        <v>女</v>
      </c>
    </row>
    <row r="1169" spans="1:5" ht="30" customHeight="1">
      <c r="A1169" s="4">
        <v>1167</v>
      </c>
      <c r="B1169" s="4" t="str">
        <f>"39712022060112341579788"</f>
        <v>39712022060112341579788</v>
      </c>
      <c r="C1169" s="4" t="s">
        <v>25</v>
      </c>
      <c r="D1169" s="4" t="str">
        <f>"薛桃花"</f>
        <v>薛桃花</v>
      </c>
      <c r="E1169" s="4" t="str">
        <f>"女"</f>
        <v>女</v>
      </c>
    </row>
    <row r="1170" spans="1:5" ht="30" customHeight="1">
      <c r="A1170" s="4">
        <v>1168</v>
      </c>
      <c r="B1170" s="4" t="str">
        <f>"39712022060112350879794"</f>
        <v>39712022060112350879794</v>
      </c>
      <c r="C1170" s="4" t="s">
        <v>25</v>
      </c>
      <c r="D1170" s="4" t="str">
        <f>"李明丽"</f>
        <v>李明丽</v>
      </c>
      <c r="E1170" s="4" t="str">
        <f>"女"</f>
        <v>女</v>
      </c>
    </row>
    <row r="1171" spans="1:5" ht="30" customHeight="1">
      <c r="A1171" s="4">
        <v>1169</v>
      </c>
      <c r="B1171" s="4" t="str">
        <f>"39712022060112545879890"</f>
        <v>39712022060112545879890</v>
      </c>
      <c r="C1171" s="4" t="s">
        <v>25</v>
      </c>
      <c r="D1171" s="4" t="str">
        <f>"周有才"</f>
        <v>周有才</v>
      </c>
      <c r="E1171" s="4" t="str">
        <f>"男"</f>
        <v>男</v>
      </c>
    </row>
    <row r="1172" spans="1:5" ht="30" customHeight="1">
      <c r="A1172" s="4">
        <v>1170</v>
      </c>
      <c r="B1172" s="4" t="str">
        <f>"39712022060112573879907"</f>
        <v>39712022060112573879907</v>
      </c>
      <c r="C1172" s="4" t="s">
        <v>25</v>
      </c>
      <c r="D1172" s="4" t="str">
        <f>"唐海玲"</f>
        <v>唐海玲</v>
      </c>
      <c r="E1172" s="4" t="str">
        <f aca="true" t="shared" si="56" ref="E1172:E1189">"女"</f>
        <v>女</v>
      </c>
    </row>
    <row r="1173" spans="1:5" ht="30" customHeight="1">
      <c r="A1173" s="4">
        <v>1171</v>
      </c>
      <c r="B1173" s="4" t="str">
        <f>"39712022060113044579941"</f>
        <v>39712022060113044579941</v>
      </c>
      <c r="C1173" s="4" t="s">
        <v>25</v>
      </c>
      <c r="D1173" s="4" t="str">
        <f>"丁珊珊"</f>
        <v>丁珊珊</v>
      </c>
      <c r="E1173" s="4" t="str">
        <f t="shared" si="56"/>
        <v>女</v>
      </c>
    </row>
    <row r="1174" spans="1:5" ht="30" customHeight="1">
      <c r="A1174" s="4">
        <v>1172</v>
      </c>
      <c r="B1174" s="4" t="str">
        <f>"39712022060113150979994"</f>
        <v>39712022060113150979994</v>
      </c>
      <c r="C1174" s="4" t="s">
        <v>25</v>
      </c>
      <c r="D1174" s="4" t="str">
        <f>"何舒婷"</f>
        <v>何舒婷</v>
      </c>
      <c r="E1174" s="4" t="str">
        <f t="shared" si="56"/>
        <v>女</v>
      </c>
    </row>
    <row r="1175" spans="1:5" ht="30" customHeight="1">
      <c r="A1175" s="4">
        <v>1173</v>
      </c>
      <c r="B1175" s="4" t="str">
        <f>"39712022060113201880015"</f>
        <v>39712022060113201880015</v>
      </c>
      <c r="C1175" s="4" t="s">
        <v>25</v>
      </c>
      <c r="D1175" s="4" t="str">
        <f>"陈秀香"</f>
        <v>陈秀香</v>
      </c>
      <c r="E1175" s="4" t="str">
        <f t="shared" si="56"/>
        <v>女</v>
      </c>
    </row>
    <row r="1176" spans="1:5" ht="30" customHeight="1">
      <c r="A1176" s="4">
        <v>1174</v>
      </c>
      <c r="B1176" s="4" t="str">
        <f>"39712022060113260980041"</f>
        <v>39712022060113260980041</v>
      </c>
      <c r="C1176" s="4" t="s">
        <v>25</v>
      </c>
      <c r="D1176" s="4" t="str">
        <f>"陈文丽"</f>
        <v>陈文丽</v>
      </c>
      <c r="E1176" s="4" t="str">
        <f t="shared" si="56"/>
        <v>女</v>
      </c>
    </row>
    <row r="1177" spans="1:5" ht="30" customHeight="1">
      <c r="A1177" s="4">
        <v>1175</v>
      </c>
      <c r="B1177" s="4" t="str">
        <f>"39712022060113275180046"</f>
        <v>39712022060113275180046</v>
      </c>
      <c r="C1177" s="4" t="s">
        <v>25</v>
      </c>
      <c r="D1177" s="4" t="str">
        <f>"赵凤君"</f>
        <v>赵凤君</v>
      </c>
      <c r="E1177" s="4" t="str">
        <f t="shared" si="56"/>
        <v>女</v>
      </c>
    </row>
    <row r="1178" spans="1:5" ht="30" customHeight="1">
      <c r="A1178" s="4">
        <v>1176</v>
      </c>
      <c r="B1178" s="4" t="str">
        <f>"39712022060113283680049"</f>
        <v>39712022060113283680049</v>
      </c>
      <c r="C1178" s="4" t="s">
        <v>25</v>
      </c>
      <c r="D1178" s="4" t="str">
        <f>"陈柯文"</f>
        <v>陈柯文</v>
      </c>
      <c r="E1178" s="4" t="str">
        <f t="shared" si="56"/>
        <v>女</v>
      </c>
    </row>
    <row r="1179" spans="1:5" ht="30" customHeight="1">
      <c r="A1179" s="4">
        <v>1177</v>
      </c>
      <c r="B1179" s="4" t="str">
        <f>"39712022060113355780090"</f>
        <v>39712022060113355780090</v>
      </c>
      <c r="C1179" s="4" t="s">
        <v>25</v>
      </c>
      <c r="D1179" s="4" t="str">
        <f>"钟海妹"</f>
        <v>钟海妹</v>
      </c>
      <c r="E1179" s="4" t="str">
        <f t="shared" si="56"/>
        <v>女</v>
      </c>
    </row>
    <row r="1180" spans="1:5" ht="30" customHeight="1">
      <c r="A1180" s="4">
        <v>1178</v>
      </c>
      <c r="B1180" s="4" t="str">
        <f>"39712022060113425080117"</f>
        <v>39712022060113425080117</v>
      </c>
      <c r="C1180" s="4" t="s">
        <v>25</v>
      </c>
      <c r="D1180" s="4" t="str">
        <f>"梁丽云"</f>
        <v>梁丽云</v>
      </c>
      <c r="E1180" s="4" t="str">
        <f t="shared" si="56"/>
        <v>女</v>
      </c>
    </row>
    <row r="1181" spans="1:5" ht="30" customHeight="1">
      <c r="A1181" s="4">
        <v>1179</v>
      </c>
      <c r="B1181" s="4" t="str">
        <f>"39712022060113472880131"</f>
        <v>39712022060113472880131</v>
      </c>
      <c r="C1181" s="4" t="s">
        <v>25</v>
      </c>
      <c r="D1181" s="4" t="str">
        <f>"闫彦芳"</f>
        <v>闫彦芳</v>
      </c>
      <c r="E1181" s="4" t="str">
        <f t="shared" si="56"/>
        <v>女</v>
      </c>
    </row>
    <row r="1182" spans="1:5" ht="30" customHeight="1">
      <c r="A1182" s="4">
        <v>1180</v>
      </c>
      <c r="B1182" s="4" t="str">
        <f>"39712022060114005580175"</f>
        <v>39712022060114005580175</v>
      </c>
      <c r="C1182" s="4" t="s">
        <v>25</v>
      </c>
      <c r="D1182" s="4" t="str">
        <f>"李韵仪"</f>
        <v>李韵仪</v>
      </c>
      <c r="E1182" s="4" t="str">
        <f t="shared" si="56"/>
        <v>女</v>
      </c>
    </row>
    <row r="1183" spans="1:5" ht="30" customHeight="1">
      <c r="A1183" s="4">
        <v>1181</v>
      </c>
      <c r="B1183" s="4" t="str">
        <f>"39712022060114081780200"</f>
        <v>39712022060114081780200</v>
      </c>
      <c r="C1183" s="4" t="s">
        <v>25</v>
      </c>
      <c r="D1183" s="4" t="str">
        <f>"杨晶"</f>
        <v>杨晶</v>
      </c>
      <c r="E1183" s="4" t="str">
        <f t="shared" si="56"/>
        <v>女</v>
      </c>
    </row>
    <row r="1184" spans="1:5" ht="30" customHeight="1">
      <c r="A1184" s="4">
        <v>1182</v>
      </c>
      <c r="B1184" s="4" t="str">
        <f>"39712022060114131280222"</f>
        <v>39712022060114131280222</v>
      </c>
      <c r="C1184" s="4" t="s">
        <v>25</v>
      </c>
      <c r="D1184" s="4" t="str">
        <f>"李燕珠"</f>
        <v>李燕珠</v>
      </c>
      <c r="E1184" s="4" t="str">
        <f t="shared" si="56"/>
        <v>女</v>
      </c>
    </row>
    <row r="1185" spans="1:5" ht="30" customHeight="1">
      <c r="A1185" s="4">
        <v>1183</v>
      </c>
      <c r="B1185" s="4" t="str">
        <f>"39712022060114231880258"</f>
        <v>39712022060114231880258</v>
      </c>
      <c r="C1185" s="4" t="s">
        <v>25</v>
      </c>
      <c r="D1185" s="4" t="str">
        <f>"陈艺灵"</f>
        <v>陈艺灵</v>
      </c>
      <c r="E1185" s="4" t="str">
        <f t="shared" si="56"/>
        <v>女</v>
      </c>
    </row>
    <row r="1186" spans="1:5" ht="30" customHeight="1">
      <c r="A1186" s="4">
        <v>1184</v>
      </c>
      <c r="B1186" s="4" t="str">
        <f>"39712022060114243080263"</f>
        <v>39712022060114243080263</v>
      </c>
      <c r="C1186" s="4" t="s">
        <v>25</v>
      </c>
      <c r="D1186" s="4" t="str">
        <f>"侯晶"</f>
        <v>侯晶</v>
      </c>
      <c r="E1186" s="4" t="str">
        <f t="shared" si="56"/>
        <v>女</v>
      </c>
    </row>
    <row r="1187" spans="1:5" ht="30" customHeight="1">
      <c r="A1187" s="4">
        <v>1185</v>
      </c>
      <c r="B1187" s="4" t="str">
        <f>"39712022060114272980274"</f>
        <v>39712022060114272980274</v>
      </c>
      <c r="C1187" s="4" t="s">
        <v>25</v>
      </c>
      <c r="D1187" s="4" t="str">
        <f>"王雪吟"</f>
        <v>王雪吟</v>
      </c>
      <c r="E1187" s="4" t="str">
        <f t="shared" si="56"/>
        <v>女</v>
      </c>
    </row>
    <row r="1188" spans="1:5" ht="30" customHeight="1">
      <c r="A1188" s="4">
        <v>1186</v>
      </c>
      <c r="B1188" s="4" t="str">
        <f>"39712022060114383780319"</f>
        <v>39712022060114383780319</v>
      </c>
      <c r="C1188" s="4" t="s">
        <v>25</v>
      </c>
      <c r="D1188" s="4" t="str">
        <f>"黄杏丁"</f>
        <v>黄杏丁</v>
      </c>
      <c r="E1188" s="4" t="str">
        <f t="shared" si="56"/>
        <v>女</v>
      </c>
    </row>
    <row r="1189" spans="1:5" ht="30" customHeight="1">
      <c r="A1189" s="4">
        <v>1187</v>
      </c>
      <c r="B1189" s="4" t="str">
        <f>"39712022060114405480332"</f>
        <v>39712022060114405480332</v>
      </c>
      <c r="C1189" s="4" t="s">
        <v>25</v>
      </c>
      <c r="D1189" s="4" t="str">
        <f>"李月冠"</f>
        <v>李月冠</v>
      </c>
      <c r="E1189" s="4" t="str">
        <f t="shared" si="56"/>
        <v>女</v>
      </c>
    </row>
    <row r="1190" spans="1:5" ht="30" customHeight="1">
      <c r="A1190" s="4">
        <v>1188</v>
      </c>
      <c r="B1190" s="4" t="str">
        <f>"39712022060114522980389"</f>
        <v>39712022060114522980389</v>
      </c>
      <c r="C1190" s="4" t="s">
        <v>25</v>
      </c>
      <c r="D1190" s="4" t="str">
        <f>"王志元"</f>
        <v>王志元</v>
      </c>
      <c r="E1190" s="4" t="str">
        <f>"男"</f>
        <v>男</v>
      </c>
    </row>
    <row r="1191" spans="1:5" ht="30" customHeight="1">
      <c r="A1191" s="4">
        <v>1189</v>
      </c>
      <c r="B1191" s="4" t="str">
        <f>"39712022060114533480395"</f>
        <v>39712022060114533480395</v>
      </c>
      <c r="C1191" s="4" t="s">
        <v>25</v>
      </c>
      <c r="D1191" s="4" t="str">
        <f>"陈肖婷"</f>
        <v>陈肖婷</v>
      </c>
      <c r="E1191" s="4" t="str">
        <f>"女"</f>
        <v>女</v>
      </c>
    </row>
    <row r="1192" spans="1:5" ht="30" customHeight="1">
      <c r="A1192" s="4">
        <v>1190</v>
      </c>
      <c r="B1192" s="4" t="str">
        <f>"39712022060114550080403"</f>
        <v>39712022060114550080403</v>
      </c>
      <c r="C1192" s="4" t="s">
        <v>25</v>
      </c>
      <c r="D1192" s="4" t="str">
        <f>"黎赛艳"</f>
        <v>黎赛艳</v>
      </c>
      <c r="E1192" s="4" t="str">
        <f>"女"</f>
        <v>女</v>
      </c>
    </row>
    <row r="1193" spans="1:5" ht="30" customHeight="1">
      <c r="A1193" s="4">
        <v>1191</v>
      </c>
      <c r="B1193" s="4" t="str">
        <f>"39712022060115050080457"</f>
        <v>39712022060115050080457</v>
      </c>
      <c r="C1193" s="4" t="s">
        <v>25</v>
      </c>
      <c r="D1193" s="4" t="str">
        <f>"刘妍"</f>
        <v>刘妍</v>
      </c>
      <c r="E1193" s="4" t="str">
        <f>"女"</f>
        <v>女</v>
      </c>
    </row>
    <row r="1194" spans="1:5" ht="30" customHeight="1">
      <c r="A1194" s="4">
        <v>1192</v>
      </c>
      <c r="B1194" s="4" t="str">
        <f>"39712022060115172380533"</f>
        <v>39712022060115172380533</v>
      </c>
      <c r="C1194" s="4" t="s">
        <v>25</v>
      </c>
      <c r="D1194" s="4" t="str">
        <f>"郭巧玲"</f>
        <v>郭巧玲</v>
      </c>
      <c r="E1194" s="4" t="str">
        <f>"女"</f>
        <v>女</v>
      </c>
    </row>
    <row r="1195" spans="1:5" ht="30" customHeight="1">
      <c r="A1195" s="4">
        <v>1193</v>
      </c>
      <c r="B1195" s="4" t="str">
        <f>"39712022060115175780535"</f>
        <v>39712022060115175780535</v>
      </c>
      <c r="C1195" s="4" t="s">
        <v>25</v>
      </c>
      <c r="D1195" s="4" t="str">
        <f>"刘经唯"</f>
        <v>刘经唯</v>
      </c>
      <c r="E1195" s="4" t="str">
        <f>"女"</f>
        <v>女</v>
      </c>
    </row>
    <row r="1196" spans="1:5" ht="30" customHeight="1">
      <c r="A1196" s="4">
        <v>1194</v>
      </c>
      <c r="B1196" s="4" t="str">
        <f>"39712022060115182880539"</f>
        <v>39712022060115182880539</v>
      </c>
      <c r="C1196" s="4" t="s">
        <v>25</v>
      </c>
      <c r="D1196" s="4" t="str">
        <f>"钟昌霖"</f>
        <v>钟昌霖</v>
      </c>
      <c r="E1196" s="4" t="str">
        <f>"男"</f>
        <v>男</v>
      </c>
    </row>
    <row r="1197" spans="1:5" ht="30" customHeight="1">
      <c r="A1197" s="4">
        <v>1195</v>
      </c>
      <c r="B1197" s="4" t="str">
        <f>"39712022060115240180565"</f>
        <v>39712022060115240180565</v>
      </c>
      <c r="C1197" s="4" t="s">
        <v>25</v>
      </c>
      <c r="D1197" s="4" t="str">
        <f>"符万方"</f>
        <v>符万方</v>
      </c>
      <c r="E1197" s="4" t="str">
        <f>"女"</f>
        <v>女</v>
      </c>
    </row>
    <row r="1198" spans="1:5" ht="30" customHeight="1">
      <c r="A1198" s="4">
        <v>1196</v>
      </c>
      <c r="B1198" s="4" t="str">
        <f>"39712022060115272580597"</f>
        <v>39712022060115272580597</v>
      </c>
      <c r="C1198" s="4" t="s">
        <v>25</v>
      </c>
      <c r="D1198" s="4" t="str">
        <f>"庄洪"</f>
        <v>庄洪</v>
      </c>
      <c r="E1198" s="4" t="str">
        <f>"男"</f>
        <v>男</v>
      </c>
    </row>
    <row r="1199" spans="1:5" ht="30" customHeight="1">
      <c r="A1199" s="4">
        <v>1197</v>
      </c>
      <c r="B1199" s="4" t="str">
        <f>"39712022060115273580599"</f>
        <v>39712022060115273580599</v>
      </c>
      <c r="C1199" s="4" t="s">
        <v>25</v>
      </c>
      <c r="D1199" s="4" t="str">
        <f>"蓝志华"</f>
        <v>蓝志华</v>
      </c>
      <c r="E1199" s="4" t="str">
        <f>"男"</f>
        <v>男</v>
      </c>
    </row>
    <row r="1200" spans="1:5" ht="30" customHeight="1">
      <c r="A1200" s="4">
        <v>1198</v>
      </c>
      <c r="B1200" s="4" t="str">
        <f>"39712022060115281180603"</f>
        <v>39712022060115281180603</v>
      </c>
      <c r="C1200" s="4" t="s">
        <v>25</v>
      </c>
      <c r="D1200" s="4" t="str">
        <f>"陈丽芳"</f>
        <v>陈丽芳</v>
      </c>
      <c r="E1200" s="4" t="str">
        <f aca="true" t="shared" si="57" ref="E1200:E1206">"女"</f>
        <v>女</v>
      </c>
    </row>
    <row r="1201" spans="1:5" ht="30" customHeight="1">
      <c r="A1201" s="4">
        <v>1199</v>
      </c>
      <c r="B1201" s="4" t="str">
        <f>"39712022060115310980618"</f>
        <v>39712022060115310980618</v>
      </c>
      <c r="C1201" s="4" t="s">
        <v>25</v>
      </c>
      <c r="D1201" s="4" t="str">
        <f>"欧静仪"</f>
        <v>欧静仪</v>
      </c>
      <c r="E1201" s="4" t="str">
        <f t="shared" si="57"/>
        <v>女</v>
      </c>
    </row>
    <row r="1202" spans="1:5" ht="30" customHeight="1">
      <c r="A1202" s="4">
        <v>1200</v>
      </c>
      <c r="B1202" s="4" t="str">
        <f>"39712022060115342080641"</f>
        <v>39712022060115342080641</v>
      </c>
      <c r="C1202" s="4" t="s">
        <v>25</v>
      </c>
      <c r="D1202" s="4" t="str">
        <f>"薛惠云"</f>
        <v>薛惠云</v>
      </c>
      <c r="E1202" s="4" t="str">
        <f t="shared" si="57"/>
        <v>女</v>
      </c>
    </row>
    <row r="1203" spans="1:5" ht="30" customHeight="1">
      <c r="A1203" s="4">
        <v>1201</v>
      </c>
      <c r="B1203" s="4" t="str">
        <f>"39712022060115375780659"</f>
        <v>39712022060115375780659</v>
      </c>
      <c r="C1203" s="4" t="s">
        <v>25</v>
      </c>
      <c r="D1203" s="4" t="str">
        <f>"朱柳芳"</f>
        <v>朱柳芳</v>
      </c>
      <c r="E1203" s="4" t="str">
        <f t="shared" si="57"/>
        <v>女</v>
      </c>
    </row>
    <row r="1204" spans="1:5" ht="30" customHeight="1">
      <c r="A1204" s="4">
        <v>1202</v>
      </c>
      <c r="B1204" s="4" t="str">
        <f>"39712022060115384280663"</f>
        <v>39712022060115384280663</v>
      </c>
      <c r="C1204" s="4" t="s">
        <v>25</v>
      </c>
      <c r="D1204" s="4" t="str">
        <f>"羊淑芳"</f>
        <v>羊淑芳</v>
      </c>
      <c r="E1204" s="4" t="str">
        <f t="shared" si="57"/>
        <v>女</v>
      </c>
    </row>
    <row r="1205" spans="1:5" ht="30" customHeight="1">
      <c r="A1205" s="4">
        <v>1203</v>
      </c>
      <c r="B1205" s="4" t="str">
        <f>"39712022060115403180677"</f>
        <v>39712022060115403180677</v>
      </c>
      <c r="C1205" s="4" t="s">
        <v>25</v>
      </c>
      <c r="D1205" s="4" t="str">
        <f>"徐秋花"</f>
        <v>徐秋花</v>
      </c>
      <c r="E1205" s="4" t="str">
        <f t="shared" si="57"/>
        <v>女</v>
      </c>
    </row>
    <row r="1206" spans="1:5" ht="30" customHeight="1">
      <c r="A1206" s="4">
        <v>1204</v>
      </c>
      <c r="B1206" s="4" t="str">
        <f>"39712022060115413380684"</f>
        <v>39712022060115413380684</v>
      </c>
      <c r="C1206" s="4" t="s">
        <v>25</v>
      </c>
      <c r="D1206" s="4" t="str">
        <f>"陈盈"</f>
        <v>陈盈</v>
      </c>
      <c r="E1206" s="4" t="str">
        <f t="shared" si="57"/>
        <v>女</v>
      </c>
    </row>
    <row r="1207" spans="1:5" ht="30" customHeight="1">
      <c r="A1207" s="4">
        <v>1205</v>
      </c>
      <c r="B1207" s="4" t="str">
        <f>"39712022060115434580696"</f>
        <v>39712022060115434580696</v>
      </c>
      <c r="C1207" s="4" t="s">
        <v>25</v>
      </c>
      <c r="D1207" s="4" t="str">
        <f>"黎培旭"</f>
        <v>黎培旭</v>
      </c>
      <c r="E1207" s="4" t="str">
        <f>"男"</f>
        <v>男</v>
      </c>
    </row>
    <row r="1208" spans="1:5" ht="30" customHeight="1">
      <c r="A1208" s="4">
        <v>1206</v>
      </c>
      <c r="B1208" s="4" t="str">
        <f>"39712022060115434880697"</f>
        <v>39712022060115434880697</v>
      </c>
      <c r="C1208" s="4" t="s">
        <v>25</v>
      </c>
      <c r="D1208" s="4" t="str">
        <f>"彭冉"</f>
        <v>彭冉</v>
      </c>
      <c r="E1208" s="4" t="str">
        <f aca="true" t="shared" si="58" ref="E1208:E1222">"女"</f>
        <v>女</v>
      </c>
    </row>
    <row r="1209" spans="1:5" ht="30" customHeight="1">
      <c r="A1209" s="4">
        <v>1207</v>
      </c>
      <c r="B1209" s="4" t="str">
        <f>"39712022060115442180701"</f>
        <v>39712022060115442180701</v>
      </c>
      <c r="C1209" s="4" t="s">
        <v>25</v>
      </c>
      <c r="D1209" s="4" t="str">
        <f>"韦少南"</f>
        <v>韦少南</v>
      </c>
      <c r="E1209" s="4" t="str">
        <f t="shared" si="58"/>
        <v>女</v>
      </c>
    </row>
    <row r="1210" spans="1:5" ht="30" customHeight="1">
      <c r="A1210" s="4">
        <v>1208</v>
      </c>
      <c r="B1210" s="4" t="str">
        <f>"39712022060116003980792"</f>
        <v>39712022060116003980792</v>
      </c>
      <c r="C1210" s="4" t="s">
        <v>25</v>
      </c>
      <c r="D1210" s="4" t="str">
        <f>"符桂秋"</f>
        <v>符桂秋</v>
      </c>
      <c r="E1210" s="4" t="str">
        <f t="shared" si="58"/>
        <v>女</v>
      </c>
    </row>
    <row r="1211" spans="1:5" ht="30" customHeight="1">
      <c r="A1211" s="4">
        <v>1209</v>
      </c>
      <c r="B1211" s="4" t="str">
        <f>"39712022060116013880796"</f>
        <v>39712022060116013880796</v>
      </c>
      <c r="C1211" s="4" t="s">
        <v>25</v>
      </c>
      <c r="D1211" s="4" t="str">
        <f>"王颖"</f>
        <v>王颖</v>
      </c>
      <c r="E1211" s="4" t="str">
        <f t="shared" si="58"/>
        <v>女</v>
      </c>
    </row>
    <row r="1212" spans="1:5" ht="30" customHeight="1">
      <c r="A1212" s="4">
        <v>1210</v>
      </c>
      <c r="B1212" s="4" t="str">
        <f>"39712022060116074880841"</f>
        <v>39712022060116074880841</v>
      </c>
      <c r="C1212" s="4" t="s">
        <v>25</v>
      </c>
      <c r="D1212" s="4" t="str">
        <f>"黄嘉嘉"</f>
        <v>黄嘉嘉</v>
      </c>
      <c r="E1212" s="4" t="str">
        <f t="shared" si="58"/>
        <v>女</v>
      </c>
    </row>
    <row r="1213" spans="1:5" ht="30" customHeight="1">
      <c r="A1213" s="4">
        <v>1211</v>
      </c>
      <c r="B1213" s="4" t="str">
        <f>"39712022060116141980882"</f>
        <v>39712022060116141980882</v>
      </c>
      <c r="C1213" s="4" t="s">
        <v>25</v>
      </c>
      <c r="D1213" s="4" t="str">
        <f>"黄保转"</f>
        <v>黄保转</v>
      </c>
      <c r="E1213" s="4" t="str">
        <f t="shared" si="58"/>
        <v>女</v>
      </c>
    </row>
    <row r="1214" spans="1:5" ht="30" customHeight="1">
      <c r="A1214" s="4">
        <v>1212</v>
      </c>
      <c r="B1214" s="4" t="str">
        <f>"39712022060116144480884"</f>
        <v>39712022060116144480884</v>
      </c>
      <c r="C1214" s="4" t="s">
        <v>25</v>
      </c>
      <c r="D1214" s="4" t="str">
        <f>"蔡佳楠"</f>
        <v>蔡佳楠</v>
      </c>
      <c r="E1214" s="4" t="str">
        <f t="shared" si="58"/>
        <v>女</v>
      </c>
    </row>
    <row r="1215" spans="1:5" ht="30" customHeight="1">
      <c r="A1215" s="4">
        <v>1213</v>
      </c>
      <c r="B1215" s="4" t="str">
        <f>"39712022060116250580947"</f>
        <v>39712022060116250580947</v>
      </c>
      <c r="C1215" s="4" t="s">
        <v>25</v>
      </c>
      <c r="D1215" s="4" t="str">
        <f>"吴司南"</f>
        <v>吴司南</v>
      </c>
      <c r="E1215" s="4" t="str">
        <f t="shared" si="58"/>
        <v>女</v>
      </c>
    </row>
    <row r="1216" spans="1:5" ht="30" customHeight="1">
      <c r="A1216" s="4">
        <v>1214</v>
      </c>
      <c r="B1216" s="4" t="str">
        <f>"39712022060116272980957"</f>
        <v>39712022060116272980957</v>
      </c>
      <c r="C1216" s="4" t="s">
        <v>25</v>
      </c>
      <c r="D1216" s="4" t="str">
        <f>"王菊影"</f>
        <v>王菊影</v>
      </c>
      <c r="E1216" s="4" t="str">
        <f t="shared" si="58"/>
        <v>女</v>
      </c>
    </row>
    <row r="1217" spans="1:5" ht="30" customHeight="1">
      <c r="A1217" s="4">
        <v>1215</v>
      </c>
      <c r="B1217" s="4" t="str">
        <f>"39712022060116295380970"</f>
        <v>39712022060116295380970</v>
      </c>
      <c r="C1217" s="4" t="s">
        <v>25</v>
      </c>
      <c r="D1217" s="4" t="str">
        <f>"李美春"</f>
        <v>李美春</v>
      </c>
      <c r="E1217" s="4" t="str">
        <f t="shared" si="58"/>
        <v>女</v>
      </c>
    </row>
    <row r="1218" spans="1:5" ht="30" customHeight="1">
      <c r="A1218" s="4">
        <v>1216</v>
      </c>
      <c r="B1218" s="4" t="str">
        <f>"39712022060116410281034"</f>
        <v>39712022060116410281034</v>
      </c>
      <c r="C1218" s="4" t="s">
        <v>25</v>
      </c>
      <c r="D1218" s="4" t="str">
        <f>"许俊莉"</f>
        <v>许俊莉</v>
      </c>
      <c r="E1218" s="4" t="str">
        <f t="shared" si="58"/>
        <v>女</v>
      </c>
    </row>
    <row r="1219" spans="1:5" ht="30" customHeight="1">
      <c r="A1219" s="4">
        <v>1217</v>
      </c>
      <c r="B1219" s="4" t="str">
        <f>"39712022060116472881068"</f>
        <v>39712022060116472881068</v>
      </c>
      <c r="C1219" s="4" t="s">
        <v>25</v>
      </c>
      <c r="D1219" s="4" t="str">
        <f>"汪春纹"</f>
        <v>汪春纹</v>
      </c>
      <c r="E1219" s="4" t="str">
        <f t="shared" si="58"/>
        <v>女</v>
      </c>
    </row>
    <row r="1220" spans="1:5" ht="30" customHeight="1">
      <c r="A1220" s="4">
        <v>1218</v>
      </c>
      <c r="B1220" s="4" t="str">
        <f>"39712022060116474081071"</f>
        <v>39712022060116474081071</v>
      </c>
      <c r="C1220" s="4" t="s">
        <v>25</v>
      </c>
      <c r="D1220" s="4" t="str">
        <f>"薛芳芳"</f>
        <v>薛芳芳</v>
      </c>
      <c r="E1220" s="4" t="str">
        <f t="shared" si="58"/>
        <v>女</v>
      </c>
    </row>
    <row r="1221" spans="1:5" ht="30" customHeight="1">
      <c r="A1221" s="4">
        <v>1219</v>
      </c>
      <c r="B1221" s="4" t="str">
        <f>"39712022060116494081083"</f>
        <v>39712022060116494081083</v>
      </c>
      <c r="C1221" s="4" t="s">
        <v>25</v>
      </c>
      <c r="D1221" s="4" t="str">
        <f>"符燕飞"</f>
        <v>符燕飞</v>
      </c>
      <c r="E1221" s="4" t="str">
        <f t="shared" si="58"/>
        <v>女</v>
      </c>
    </row>
    <row r="1222" spans="1:5" ht="30" customHeight="1">
      <c r="A1222" s="4">
        <v>1220</v>
      </c>
      <c r="B1222" s="4" t="str">
        <f>"39712022060116495481084"</f>
        <v>39712022060116495481084</v>
      </c>
      <c r="C1222" s="4" t="s">
        <v>25</v>
      </c>
      <c r="D1222" s="4" t="str">
        <f>"吴珍珍"</f>
        <v>吴珍珍</v>
      </c>
      <c r="E1222" s="4" t="str">
        <f t="shared" si="58"/>
        <v>女</v>
      </c>
    </row>
    <row r="1223" spans="1:5" ht="30" customHeight="1">
      <c r="A1223" s="4">
        <v>1221</v>
      </c>
      <c r="B1223" s="4" t="str">
        <f>"39712022060116513981090"</f>
        <v>39712022060116513981090</v>
      </c>
      <c r="C1223" s="4" t="s">
        <v>25</v>
      </c>
      <c r="D1223" s="4" t="str">
        <f>"梁锡"</f>
        <v>梁锡</v>
      </c>
      <c r="E1223" s="4" t="str">
        <f>"男"</f>
        <v>男</v>
      </c>
    </row>
    <row r="1224" spans="1:5" ht="30" customHeight="1">
      <c r="A1224" s="4">
        <v>1222</v>
      </c>
      <c r="B1224" s="4" t="str">
        <f>"39712022060116575381129"</f>
        <v>39712022060116575381129</v>
      </c>
      <c r="C1224" s="4" t="s">
        <v>25</v>
      </c>
      <c r="D1224" s="4" t="str">
        <f>"王莉"</f>
        <v>王莉</v>
      </c>
      <c r="E1224" s="4" t="str">
        <f>"女"</f>
        <v>女</v>
      </c>
    </row>
    <row r="1225" spans="1:5" ht="30" customHeight="1">
      <c r="A1225" s="4">
        <v>1223</v>
      </c>
      <c r="B1225" s="4" t="str">
        <f>"39712022060117053781168"</f>
        <v>39712022060117053781168</v>
      </c>
      <c r="C1225" s="4" t="s">
        <v>25</v>
      </c>
      <c r="D1225" s="4" t="str">
        <f>"杨一格"</f>
        <v>杨一格</v>
      </c>
      <c r="E1225" s="4" t="str">
        <f>"女"</f>
        <v>女</v>
      </c>
    </row>
    <row r="1226" spans="1:5" ht="30" customHeight="1">
      <c r="A1226" s="4">
        <v>1224</v>
      </c>
      <c r="B1226" s="4" t="str">
        <f>"39712022060117131881209"</f>
        <v>39712022060117131881209</v>
      </c>
      <c r="C1226" s="4" t="s">
        <v>25</v>
      </c>
      <c r="D1226" s="4" t="str">
        <f>"罗蓉蓉"</f>
        <v>罗蓉蓉</v>
      </c>
      <c r="E1226" s="4" t="str">
        <f>"女"</f>
        <v>女</v>
      </c>
    </row>
    <row r="1227" spans="1:5" ht="30" customHeight="1">
      <c r="A1227" s="4">
        <v>1225</v>
      </c>
      <c r="B1227" s="4" t="str">
        <f>"39712022060117182281245"</f>
        <v>39712022060117182281245</v>
      </c>
      <c r="C1227" s="4" t="s">
        <v>25</v>
      </c>
      <c r="D1227" s="4" t="str">
        <f>"李超"</f>
        <v>李超</v>
      </c>
      <c r="E1227" s="4" t="str">
        <f>"男"</f>
        <v>男</v>
      </c>
    </row>
    <row r="1228" spans="1:5" ht="30" customHeight="1">
      <c r="A1228" s="4">
        <v>1226</v>
      </c>
      <c r="B1228" s="4" t="str">
        <f>"39712022060117234681269"</f>
        <v>39712022060117234681269</v>
      </c>
      <c r="C1228" s="4" t="s">
        <v>25</v>
      </c>
      <c r="D1228" s="4" t="str">
        <f>"朱万玲"</f>
        <v>朱万玲</v>
      </c>
      <c r="E1228" s="4" t="str">
        <f aca="true" t="shared" si="59" ref="E1228:E1236">"女"</f>
        <v>女</v>
      </c>
    </row>
    <row r="1229" spans="1:5" ht="30" customHeight="1">
      <c r="A1229" s="4">
        <v>1227</v>
      </c>
      <c r="B1229" s="4" t="str">
        <f>"39712022060117243381275"</f>
        <v>39712022060117243381275</v>
      </c>
      <c r="C1229" s="4" t="s">
        <v>25</v>
      </c>
      <c r="D1229" s="4" t="str">
        <f>"谢琼妹"</f>
        <v>谢琼妹</v>
      </c>
      <c r="E1229" s="4" t="str">
        <f t="shared" si="59"/>
        <v>女</v>
      </c>
    </row>
    <row r="1230" spans="1:5" ht="30" customHeight="1">
      <c r="A1230" s="4">
        <v>1228</v>
      </c>
      <c r="B1230" s="4" t="str">
        <f>"39712022060117262981287"</f>
        <v>39712022060117262981287</v>
      </c>
      <c r="C1230" s="4" t="s">
        <v>25</v>
      </c>
      <c r="D1230" s="4" t="str">
        <f>"陈敏"</f>
        <v>陈敏</v>
      </c>
      <c r="E1230" s="4" t="str">
        <f t="shared" si="59"/>
        <v>女</v>
      </c>
    </row>
    <row r="1231" spans="1:5" ht="30" customHeight="1">
      <c r="A1231" s="4">
        <v>1229</v>
      </c>
      <c r="B1231" s="4" t="str">
        <f>"39712022060117300381309"</f>
        <v>39712022060117300381309</v>
      </c>
      <c r="C1231" s="4" t="s">
        <v>25</v>
      </c>
      <c r="D1231" s="4" t="str">
        <f>"郑燕妗"</f>
        <v>郑燕妗</v>
      </c>
      <c r="E1231" s="4" t="str">
        <f t="shared" si="59"/>
        <v>女</v>
      </c>
    </row>
    <row r="1232" spans="1:5" ht="30" customHeight="1">
      <c r="A1232" s="4">
        <v>1230</v>
      </c>
      <c r="B1232" s="4" t="str">
        <f>"39712022060117321881320"</f>
        <v>39712022060117321881320</v>
      </c>
      <c r="C1232" s="4" t="s">
        <v>25</v>
      </c>
      <c r="D1232" s="4" t="str">
        <f>"钟英"</f>
        <v>钟英</v>
      </c>
      <c r="E1232" s="4" t="str">
        <f t="shared" si="59"/>
        <v>女</v>
      </c>
    </row>
    <row r="1233" spans="1:5" ht="30" customHeight="1">
      <c r="A1233" s="4">
        <v>1231</v>
      </c>
      <c r="B1233" s="4" t="str">
        <f>"39712022060117353181339"</f>
        <v>39712022060117353181339</v>
      </c>
      <c r="C1233" s="4" t="s">
        <v>25</v>
      </c>
      <c r="D1233" s="4" t="str">
        <f>"王小翠"</f>
        <v>王小翠</v>
      </c>
      <c r="E1233" s="4" t="str">
        <f t="shared" si="59"/>
        <v>女</v>
      </c>
    </row>
    <row r="1234" spans="1:5" ht="30" customHeight="1">
      <c r="A1234" s="4">
        <v>1232</v>
      </c>
      <c r="B1234" s="4" t="str">
        <f>"39712022060117361681341"</f>
        <v>39712022060117361681341</v>
      </c>
      <c r="C1234" s="4" t="s">
        <v>25</v>
      </c>
      <c r="D1234" s="4" t="str">
        <f>"李效妮"</f>
        <v>李效妮</v>
      </c>
      <c r="E1234" s="4" t="str">
        <f t="shared" si="59"/>
        <v>女</v>
      </c>
    </row>
    <row r="1235" spans="1:5" ht="30" customHeight="1">
      <c r="A1235" s="4">
        <v>1233</v>
      </c>
      <c r="B1235" s="4" t="str">
        <f>"39712022060117442781378"</f>
        <v>39712022060117442781378</v>
      </c>
      <c r="C1235" s="4" t="s">
        <v>25</v>
      </c>
      <c r="D1235" s="4" t="str">
        <f>"王秀颖"</f>
        <v>王秀颖</v>
      </c>
      <c r="E1235" s="4" t="str">
        <f t="shared" si="59"/>
        <v>女</v>
      </c>
    </row>
    <row r="1236" spans="1:5" ht="30" customHeight="1">
      <c r="A1236" s="4">
        <v>1234</v>
      </c>
      <c r="B1236" s="4" t="str">
        <f>"39712022060117455981385"</f>
        <v>39712022060117455981385</v>
      </c>
      <c r="C1236" s="4" t="s">
        <v>25</v>
      </c>
      <c r="D1236" s="4" t="str">
        <f>"陈妮"</f>
        <v>陈妮</v>
      </c>
      <c r="E1236" s="4" t="str">
        <f t="shared" si="59"/>
        <v>女</v>
      </c>
    </row>
    <row r="1237" spans="1:5" ht="30" customHeight="1">
      <c r="A1237" s="4">
        <v>1235</v>
      </c>
      <c r="B1237" s="4" t="str">
        <f>"39712022060117470681390"</f>
        <v>39712022060117470681390</v>
      </c>
      <c r="C1237" s="4" t="s">
        <v>25</v>
      </c>
      <c r="D1237" s="4" t="str">
        <f>"唐南文"</f>
        <v>唐南文</v>
      </c>
      <c r="E1237" s="4" t="str">
        <f>"男"</f>
        <v>男</v>
      </c>
    </row>
    <row r="1238" spans="1:5" ht="30" customHeight="1">
      <c r="A1238" s="4">
        <v>1236</v>
      </c>
      <c r="B1238" s="4" t="str">
        <f>"39712022060117492881402"</f>
        <v>39712022060117492881402</v>
      </c>
      <c r="C1238" s="4" t="s">
        <v>25</v>
      </c>
      <c r="D1238" s="4" t="str">
        <f>"黄潇"</f>
        <v>黄潇</v>
      </c>
      <c r="E1238" s="4" t="str">
        <f>"女"</f>
        <v>女</v>
      </c>
    </row>
    <row r="1239" spans="1:5" ht="30" customHeight="1">
      <c r="A1239" s="4">
        <v>1237</v>
      </c>
      <c r="B1239" s="4" t="str">
        <f>"39712022060117562381439"</f>
        <v>39712022060117562381439</v>
      </c>
      <c r="C1239" s="4" t="s">
        <v>25</v>
      </c>
      <c r="D1239" s="4" t="str">
        <f>"谢景瑜"</f>
        <v>谢景瑜</v>
      </c>
      <c r="E1239" s="4" t="str">
        <f>"女"</f>
        <v>女</v>
      </c>
    </row>
    <row r="1240" spans="1:5" ht="30" customHeight="1">
      <c r="A1240" s="4">
        <v>1238</v>
      </c>
      <c r="B1240" s="4" t="str">
        <f>"39712022060118030681466"</f>
        <v>39712022060118030681466</v>
      </c>
      <c r="C1240" s="4" t="s">
        <v>25</v>
      </c>
      <c r="D1240" s="4" t="str">
        <f>"陈佳宝"</f>
        <v>陈佳宝</v>
      </c>
      <c r="E1240" s="4" t="str">
        <f>"女"</f>
        <v>女</v>
      </c>
    </row>
    <row r="1241" spans="1:5" ht="30" customHeight="1">
      <c r="A1241" s="4">
        <v>1239</v>
      </c>
      <c r="B1241" s="4" t="str">
        <f>"39712022060118112681496"</f>
        <v>39712022060118112681496</v>
      </c>
      <c r="C1241" s="4" t="s">
        <v>25</v>
      </c>
      <c r="D1241" s="4" t="str">
        <f>"王彩霞"</f>
        <v>王彩霞</v>
      </c>
      <c r="E1241" s="4" t="str">
        <f>"女"</f>
        <v>女</v>
      </c>
    </row>
    <row r="1242" spans="1:5" ht="30" customHeight="1">
      <c r="A1242" s="4">
        <v>1240</v>
      </c>
      <c r="B1242" s="4" t="str">
        <f>"39712022060118155581521"</f>
        <v>39712022060118155581521</v>
      </c>
      <c r="C1242" s="4" t="s">
        <v>25</v>
      </c>
      <c r="D1242" s="4" t="str">
        <f>"吴燕"</f>
        <v>吴燕</v>
      </c>
      <c r="E1242" s="4" t="str">
        <f>"女"</f>
        <v>女</v>
      </c>
    </row>
    <row r="1243" spans="1:5" ht="30" customHeight="1">
      <c r="A1243" s="4">
        <v>1241</v>
      </c>
      <c r="B1243" s="4" t="str">
        <f>"39712022060118291681582"</f>
        <v>39712022060118291681582</v>
      </c>
      <c r="C1243" s="4" t="s">
        <v>25</v>
      </c>
      <c r="D1243" s="4" t="str">
        <f>"周林邦"</f>
        <v>周林邦</v>
      </c>
      <c r="E1243" s="4" t="str">
        <f>"男"</f>
        <v>男</v>
      </c>
    </row>
    <row r="1244" spans="1:5" ht="30" customHeight="1">
      <c r="A1244" s="4">
        <v>1242</v>
      </c>
      <c r="B1244" s="4" t="str">
        <f>"39712022060118310581592"</f>
        <v>39712022060118310581592</v>
      </c>
      <c r="C1244" s="4" t="s">
        <v>25</v>
      </c>
      <c r="D1244" s="4" t="str">
        <f>"姚冬燕"</f>
        <v>姚冬燕</v>
      </c>
      <c r="E1244" s="4" t="str">
        <f aca="true" t="shared" si="60" ref="E1244:E1249">"女"</f>
        <v>女</v>
      </c>
    </row>
    <row r="1245" spans="1:5" ht="30" customHeight="1">
      <c r="A1245" s="4">
        <v>1243</v>
      </c>
      <c r="B1245" s="4" t="str">
        <f>"39712022060118414581629"</f>
        <v>39712022060118414581629</v>
      </c>
      <c r="C1245" s="4" t="s">
        <v>25</v>
      </c>
      <c r="D1245" s="4" t="str">
        <f>"刘亚强"</f>
        <v>刘亚强</v>
      </c>
      <c r="E1245" s="4" t="str">
        <f t="shared" si="60"/>
        <v>女</v>
      </c>
    </row>
    <row r="1246" spans="1:5" ht="30" customHeight="1">
      <c r="A1246" s="4">
        <v>1244</v>
      </c>
      <c r="B1246" s="4" t="str">
        <f>"39712022060118421181632"</f>
        <v>39712022060118421181632</v>
      </c>
      <c r="C1246" s="4" t="s">
        <v>25</v>
      </c>
      <c r="D1246" s="4" t="str">
        <f>"黄怡霖"</f>
        <v>黄怡霖</v>
      </c>
      <c r="E1246" s="4" t="str">
        <f t="shared" si="60"/>
        <v>女</v>
      </c>
    </row>
    <row r="1247" spans="1:5" ht="30" customHeight="1">
      <c r="A1247" s="4">
        <v>1245</v>
      </c>
      <c r="B1247" s="4" t="str">
        <f>"39712022060118452581646"</f>
        <v>39712022060118452581646</v>
      </c>
      <c r="C1247" s="4" t="s">
        <v>25</v>
      </c>
      <c r="D1247" s="4" t="str">
        <f>"许秋香"</f>
        <v>许秋香</v>
      </c>
      <c r="E1247" s="4" t="str">
        <f t="shared" si="60"/>
        <v>女</v>
      </c>
    </row>
    <row r="1248" spans="1:5" ht="30" customHeight="1">
      <c r="A1248" s="4">
        <v>1246</v>
      </c>
      <c r="B1248" s="4" t="str">
        <f>"39712022060118531681673"</f>
        <v>39712022060118531681673</v>
      </c>
      <c r="C1248" s="4" t="s">
        <v>25</v>
      </c>
      <c r="D1248" s="4" t="str">
        <f>"高广月"</f>
        <v>高广月</v>
      </c>
      <c r="E1248" s="4" t="str">
        <f t="shared" si="60"/>
        <v>女</v>
      </c>
    </row>
    <row r="1249" spans="1:5" ht="30" customHeight="1">
      <c r="A1249" s="4">
        <v>1247</v>
      </c>
      <c r="B1249" s="4" t="str">
        <f>"39712022060118562181688"</f>
        <v>39712022060118562181688</v>
      </c>
      <c r="C1249" s="4" t="s">
        <v>25</v>
      </c>
      <c r="D1249" s="4" t="str">
        <f>"任惠敏"</f>
        <v>任惠敏</v>
      </c>
      <c r="E1249" s="4" t="str">
        <f t="shared" si="60"/>
        <v>女</v>
      </c>
    </row>
    <row r="1250" spans="1:5" ht="30" customHeight="1">
      <c r="A1250" s="4">
        <v>1248</v>
      </c>
      <c r="B1250" s="4" t="str">
        <f>"39712022060119094981745"</f>
        <v>39712022060119094981745</v>
      </c>
      <c r="C1250" s="4" t="s">
        <v>25</v>
      </c>
      <c r="D1250" s="4" t="str">
        <f>"严冬霖"</f>
        <v>严冬霖</v>
      </c>
      <c r="E1250" s="4" t="str">
        <f>"男"</f>
        <v>男</v>
      </c>
    </row>
    <row r="1251" spans="1:5" ht="30" customHeight="1">
      <c r="A1251" s="4">
        <v>1249</v>
      </c>
      <c r="B1251" s="4" t="str">
        <f>"39712022060119100881747"</f>
        <v>39712022060119100881747</v>
      </c>
      <c r="C1251" s="4" t="s">
        <v>25</v>
      </c>
      <c r="D1251" s="4" t="str">
        <f>"梁小转"</f>
        <v>梁小转</v>
      </c>
      <c r="E1251" s="4" t="str">
        <f aca="true" t="shared" si="61" ref="E1251:E1260">"女"</f>
        <v>女</v>
      </c>
    </row>
    <row r="1252" spans="1:5" ht="30" customHeight="1">
      <c r="A1252" s="4">
        <v>1250</v>
      </c>
      <c r="B1252" s="4" t="str">
        <f>"39712022060119162681774"</f>
        <v>39712022060119162681774</v>
      </c>
      <c r="C1252" s="4" t="s">
        <v>25</v>
      </c>
      <c r="D1252" s="4" t="str">
        <f>"陈小丽"</f>
        <v>陈小丽</v>
      </c>
      <c r="E1252" s="4" t="str">
        <f t="shared" si="61"/>
        <v>女</v>
      </c>
    </row>
    <row r="1253" spans="1:5" ht="30" customHeight="1">
      <c r="A1253" s="4">
        <v>1251</v>
      </c>
      <c r="B1253" s="4" t="str">
        <f>"39712022060119265581809"</f>
        <v>39712022060119265581809</v>
      </c>
      <c r="C1253" s="4" t="s">
        <v>25</v>
      </c>
      <c r="D1253" s="4" t="str">
        <f>"曾翠川"</f>
        <v>曾翠川</v>
      </c>
      <c r="E1253" s="4" t="str">
        <f t="shared" si="61"/>
        <v>女</v>
      </c>
    </row>
    <row r="1254" spans="1:5" ht="30" customHeight="1">
      <c r="A1254" s="4">
        <v>1252</v>
      </c>
      <c r="B1254" s="4" t="str">
        <f>"39712022060119321281833"</f>
        <v>39712022060119321281833</v>
      </c>
      <c r="C1254" s="4" t="s">
        <v>25</v>
      </c>
      <c r="D1254" s="4" t="str">
        <f>"杨玉秀"</f>
        <v>杨玉秀</v>
      </c>
      <c r="E1254" s="4" t="str">
        <f t="shared" si="61"/>
        <v>女</v>
      </c>
    </row>
    <row r="1255" spans="1:5" ht="30" customHeight="1">
      <c r="A1255" s="4">
        <v>1253</v>
      </c>
      <c r="B1255" s="4" t="str">
        <f>"39712022060119352081846"</f>
        <v>39712022060119352081846</v>
      </c>
      <c r="C1255" s="4" t="s">
        <v>25</v>
      </c>
      <c r="D1255" s="4" t="str">
        <f>"陈暖"</f>
        <v>陈暖</v>
      </c>
      <c r="E1255" s="4" t="str">
        <f t="shared" si="61"/>
        <v>女</v>
      </c>
    </row>
    <row r="1256" spans="1:5" ht="30" customHeight="1">
      <c r="A1256" s="4">
        <v>1254</v>
      </c>
      <c r="B1256" s="4" t="str">
        <f>"39712022060119410381867"</f>
        <v>39712022060119410381867</v>
      </c>
      <c r="C1256" s="4" t="s">
        <v>25</v>
      </c>
      <c r="D1256" s="4" t="str">
        <f>"吴梅皎"</f>
        <v>吴梅皎</v>
      </c>
      <c r="E1256" s="4" t="str">
        <f t="shared" si="61"/>
        <v>女</v>
      </c>
    </row>
    <row r="1257" spans="1:5" ht="30" customHeight="1">
      <c r="A1257" s="4">
        <v>1255</v>
      </c>
      <c r="B1257" s="4" t="str">
        <f>"39712022060119413681870"</f>
        <v>39712022060119413681870</v>
      </c>
      <c r="C1257" s="4" t="s">
        <v>25</v>
      </c>
      <c r="D1257" s="4" t="str">
        <f>"许小慧"</f>
        <v>许小慧</v>
      </c>
      <c r="E1257" s="4" t="str">
        <f t="shared" si="61"/>
        <v>女</v>
      </c>
    </row>
    <row r="1258" spans="1:5" ht="30" customHeight="1">
      <c r="A1258" s="4">
        <v>1256</v>
      </c>
      <c r="B1258" s="4" t="str">
        <f>"39712022060119490881903"</f>
        <v>39712022060119490881903</v>
      </c>
      <c r="C1258" s="4" t="s">
        <v>25</v>
      </c>
      <c r="D1258" s="4" t="str">
        <f>"周芳梅"</f>
        <v>周芳梅</v>
      </c>
      <c r="E1258" s="4" t="str">
        <f t="shared" si="61"/>
        <v>女</v>
      </c>
    </row>
    <row r="1259" spans="1:5" ht="30" customHeight="1">
      <c r="A1259" s="4">
        <v>1257</v>
      </c>
      <c r="B1259" s="4" t="str">
        <f>"39712022060119545881932"</f>
        <v>39712022060119545881932</v>
      </c>
      <c r="C1259" s="4" t="s">
        <v>25</v>
      </c>
      <c r="D1259" s="4" t="str">
        <f>"谢辉暖"</f>
        <v>谢辉暖</v>
      </c>
      <c r="E1259" s="4" t="str">
        <f t="shared" si="61"/>
        <v>女</v>
      </c>
    </row>
    <row r="1260" spans="1:5" ht="30" customHeight="1">
      <c r="A1260" s="4">
        <v>1258</v>
      </c>
      <c r="B1260" s="4" t="str">
        <f>"39712022060120010281952"</f>
        <v>39712022060120010281952</v>
      </c>
      <c r="C1260" s="4" t="s">
        <v>25</v>
      </c>
      <c r="D1260" s="4" t="str">
        <f>"陈菲菲"</f>
        <v>陈菲菲</v>
      </c>
      <c r="E1260" s="4" t="str">
        <f t="shared" si="61"/>
        <v>女</v>
      </c>
    </row>
    <row r="1261" spans="1:5" ht="30" customHeight="1">
      <c r="A1261" s="4">
        <v>1259</v>
      </c>
      <c r="B1261" s="4" t="str">
        <f>"39712022060120082681984"</f>
        <v>39712022060120082681984</v>
      </c>
      <c r="C1261" s="4" t="s">
        <v>25</v>
      </c>
      <c r="D1261" s="4" t="str">
        <f>"吴少平"</f>
        <v>吴少平</v>
      </c>
      <c r="E1261" s="4" t="str">
        <f>"男"</f>
        <v>男</v>
      </c>
    </row>
    <row r="1262" spans="1:5" ht="30" customHeight="1">
      <c r="A1262" s="4">
        <v>1260</v>
      </c>
      <c r="B1262" s="4" t="str">
        <f>"39712022060120173882031"</f>
        <v>39712022060120173882031</v>
      </c>
      <c r="C1262" s="4" t="s">
        <v>25</v>
      </c>
      <c r="D1262" s="4" t="str">
        <f>"莫艳春"</f>
        <v>莫艳春</v>
      </c>
      <c r="E1262" s="4" t="str">
        <f>"女"</f>
        <v>女</v>
      </c>
    </row>
    <row r="1263" spans="1:5" ht="30" customHeight="1">
      <c r="A1263" s="4">
        <v>1261</v>
      </c>
      <c r="B1263" s="4" t="str">
        <f>"39712022060120343782106"</f>
        <v>39712022060120343782106</v>
      </c>
      <c r="C1263" s="4" t="s">
        <v>25</v>
      </c>
      <c r="D1263" s="4" t="str">
        <f>"杨家鑫"</f>
        <v>杨家鑫</v>
      </c>
      <c r="E1263" s="4" t="str">
        <f>"男"</f>
        <v>男</v>
      </c>
    </row>
    <row r="1264" spans="1:5" ht="30" customHeight="1">
      <c r="A1264" s="4">
        <v>1262</v>
      </c>
      <c r="B1264" s="4" t="str">
        <f>"39712022060120461082160"</f>
        <v>39712022060120461082160</v>
      </c>
      <c r="C1264" s="4" t="s">
        <v>25</v>
      </c>
      <c r="D1264" s="4" t="str">
        <f>"韩秀玉"</f>
        <v>韩秀玉</v>
      </c>
      <c r="E1264" s="4" t="str">
        <f aca="true" t="shared" si="62" ref="E1264:E1270">"女"</f>
        <v>女</v>
      </c>
    </row>
    <row r="1265" spans="1:5" ht="30" customHeight="1">
      <c r="A1265" s="4">
        <v>1263</v>
      </c>
      <c r="B1265" s="4" t="str">
        <f>"39712022060120494982176"</f>
        <v>39712022060120494982176</v>
      </c>
      <c r="C1265" s="4" t="s">
        <v>25</v>
      </c>
      <c r="D1265" s="4" t="str">
        <f>"吴萍"</f>
        <v>吴萍</v>
      </c>
      <c r="E1265" s="4" t="str">
        <f t="shared" si="62"/>
        <v>女</v>
      </c>
    </row>
    <row r="1266" spans="1:5" ht="30" customHeight="1">
      <c r="A1266" s="4">
        <v>1264</v>
      </c>
      <c r="B1266" s="4" t="str">
        <f>"39712022060120542782198"</f>
        <v>39712022060120542782198</v>
      </c>
      <c r="C1266" s="4" t="s">
        <v>25</v>
      </c>
      <c r="D1266" s="4" t="str">
        <f>"郑丽欣"</f>
        <v>郑丽欣</v>
      </c>
      <c r="E1266" s="4" t="str">
        <f t="shared" si="62"/>
        <v>女</v>
      </c>
    </row>
    <row r="1267" spans="1:5" ht="30" customHeight="1">
      <c r="A1267" s="4">
        <v>1265</v>
      </c>
      <c r="B1267" s="4" t="str">
        <f>"39712022060121012382238"</f>
        <v>39712022060121012382238</v>
      </c>
      <c r="C1267" s="4" t="s">
        <v>25</v>
      </c>
      <c r="D1267" s="4" t="str">
        <f>"王才华"</f>
        <v>王才华</v>
      </c>
      <c r="E1267" s="4" t="str">
        <f t="shared" si="62"/>
        <v>女</v>
      </c>
    </row>
    <row r="1268" spans="1:5" ht="30" customHeight="1">
      <c r="A1268" s="4">
        <v>1266</v>
      </c>
      <c r="B1268" s="4" t="str">
        <f>"39712022060121063082258"</f>
        <v>39712022060121063082258</v>
      </c>
      <c r="C1268" s="4" t="s">
        <v>25</v>
      </c>
      <c r="D1268" s="4" t="str">
        <f>"谢琼慧"</f>
        <v>谢琼慧</v>
      </c>
      <c r="E1268" s="4" t="str">
        <f t="shared" si="62"/>
        <v>女</v>
      </c>
    </row>
    <row r="1269" spans="1:5" ht="30" customHeight="1">
      <c r="A1269" s="4">
        <v>1267</v>
      </c>
      <c r="B1269" s="4" t="str">
        <f>"39712022060121084482271"</f>
        <v>39712022060121084482271</v>
      </c>
      <c r="C1269" s="4" t="s">
        <v>25</v>
      </c>
      <c r="D1269" s="4" t="str">
        <f>"李亚贵"</f>
        <v>李亚贵</v>
      </c>
      <c r="E1269" s="4" t="str">
        <f t="shared" si="62"/>
        <v>女</v>
      </c>
    </row>
    <row r="1270" spans="1:5" ht="30" customHeight="1">
      <c r="A1270" s="4">
        <v>1268</v>
      </c>
      <c r="B1270" s="4" t="str">
        <f>"39712022060121114282283"</f>
        <v>39712022060121114282283</v>
      </c>
      <c r="C1270" s="4" t="s">
        <v>25</v>
      </c>
      <c r="D1270" s="4" t="str">
        <f>"廖颖"</f>
        <v>廖颖</v>
      </c>
      <c r="E1270" s="4" t="str">
        <f t="shared" si="62"/>
        <v>女</v>
      </c>
    </row>
    <row r="1271" spans="1:5" ht="30" customHeight="1">
      <c r="A1271" s="4">
        <v>1269</v>
      </c>
      <c r="B1271" s="4" t="str">
        <f>"39712022060121140182294"</f>
        <v>39712022060121140182294</v>
      </c>
      <c r="C1271" s="4" t="s">
        <v>25</v>
      </c>
      <c r="D1271" s="4" t="str">
        <f>"陈世亮"</f>
        <v>陈世亮</v>
      </c>
      <c r="E1271" s="4" t="str">
        <f>"男"</f>
        <v>男</v>
      </c>
    </row>
    <row r="1272" spans="1:5" ht="30" customHeight="1">
      <c r="A1272" s="4">
        <v>1270</v>
      </c>
      <c r="B1272" s="4" t="str">
        <f>"39712022060121234482346"</f>
        <v>39712022060121234482346</v>
      </c>
      <c r="C1272" s="4" t="s">
        <v>25</v>
      </c>
      <c r="D1272" s="4" t="str">
        <f>"韩婷婷"</f>
        <v>韩婷婷</v>
      </c>
      <c r="E1272" s="4" t="str">
        <f>"女"</f>
        <v>女</v>
      </c>
    </row>
    <row r="1273" spans="1:5" ht="30" customHeight="1">
      <c r="A1273" s="4">
        <v>1271</v>
      </c>
      <c r="B1273" s="4" t="str">
        <f>"39712022060121244082354"</f>
        <v>39712022060121244082354</v>
      </c>
      <c r="C1273" s="4" t="s">
        <v>25</v>
      </c>
      <c r="D1273" s="4" t="str">
        <f>"杨冰"</f>
        <v>杨冰</v>
      </c>
      <c r="E1273" s="4" t="str">
        <f>"女"</f>
        <v>女</v>
      </c>
    </row>
    <row r="1274" spans="1:5" ht="30" customHeight="1">
      <c r="A1274" s="4">
        <v>1272</v>
      </c>
      <c r="B1274" s="4" t="str">
        <f>"39712022060121270582362"</f>
        <v>39712022060121270582362</v>
      </c>
      <c r="C1274" s="4" t="s">
        <v>25</v>
      </c>
      <c r="D1274" s="4" t="str">
        <f>"陈娜"</f>
        <v>陈娜</v>
      </c>
      <c r="E1274" s="4" t="str">
        <f>"女"</f>
        <v>女</v>
      </c>
    </row>
    <row r="1275" spans="1:5" ht="30" customHeight="1">
      <c r="A1275" s="4">
        <v>1273</v>
      </c>
      <c r="B1275" s="4" t="str">
        <f>"39712022060121362082419"</f>
        <v>39712022060121362082419</v>
      </c>
      <c r="C1275" s="4" t="s">
        <v>25</v>
      </c>
      <c r="D1275" s="4" t="str">
        <f>"刘灿"</f>
        <v>刘灿</v>
      </c>
      <c r="E1275" s="4" t="str">
        <f>"男"</f>
        <v>男</v>
      </c>
    </row>
    <row r="1276" spans="1:5" ht="30" customHeight="1">
      <c r="A1276" s="4">
        <v>1274</v>
      </c>
      <c r="B1276" s="4" t="str">
        <f>"39712022060121473282485"</f>
        <v>39712022060121473282485</v>
      </c>
      <c r="C1276" s="4" t="s">
        <v>25</v>
      </c>
      <c r="D1276" s="4" t="str">
        <f>"胡思然"</f>
        <v>胡思然</v>
      </c>
      <c r="E1276" s="4" t="str">
        <f aca="true" t="shared" si="63" ref="E1276:E1290">"女"</f>
        <v>女</v>
      </c>
    </row>
    <row r="1277" spans="1:5" ht="30" customHeight="1">
      <c r="A1277" s="4">
        <v>1275</v>
      </c>
      <c r="B1277" s="4" t="str">
        <f>"39712022060121494182498"</f>
        <v>39712022060121494182498</v>
      </c>
      <c r="C1277" s="4" t="s">
        <v>25</v>
      </c>
      <c r="D1277" s="4" t="str">
        <f>"麦贤曼"</f>
        <v>麦贤曼</v>
      </c>
      <c r="E1277" s="4" t="str">
        <f t="shared" si="63"/>
        <v>女</v>
      </c>
    </row>
    <row r="1278" spans="1:5" ht="30" customHeight="1">
      <c r="A1278" s="4">
        <v>1276</v>
      </c>
      <c r="B1278" s="4" t="str">
        <f>"39712022060121505782506"</f>
        <v>39712022060121505782506</v>
      </c>
      <c r="C1278" s="4" t="s">
        <v>25</v>
      </c>
      <c r="D1278" s="4" t="str">
        <f>"王小映"</f>
        <v>王小映</v>
      </c>
      <c r="E1278" s="4" t="str">
        <f t="shared" si="63"/>
        <v>女</v>
      </c>
    </row>
    <row r="1279" spans="1:5" ht="30" customHeight="1">
      <c r="A1279" s="4">
        <v>1277</v>
      </c>
      <c r="B1279" s="4" t="str">
        <f>"39712022060121521882513"</f>
        <v>39712022060121521882513</v>
      </c>
      <c r="C1279" s="4" t="s">
        <v>25</v>
      </c>
      <c r="D1279" s="4" t="str">
        <f>"黄新萍"</f>
        <v>黄新萍</v>
      </c>
      <c r="E1279" s="4" t="str">
        <f t="shared" si="63"/>
        <v>女</v>
      </c>
    </row>
    <row r="1280" spans="1:5" ht="30" customHeight="1">
      <c r="A1280" s="4">
        <v>1278</v>
      </c>
      <c r="B1280" s="4" t="str">
        <f>"39712022060121530682518"</f>
        <v>39712022060121530682518</v>
      </c>
      <c r="C1280" s="4" t="s">
        <v>25</v>
      </c>
      <c r="D1280" s="4" t="str">
        <f>"黄俊妹"</f>
        <v>黄俊妹</v>
      </c>
      <c r="E1280" s="4" t="str">
        <f t="shared" si="63"/>
        <v>女</v>
      </c>
    </row>
    <row r="1281" spans="1:5" ht="30" customHeight="1">
      <c r="A1281" s="4">
        <v>1279</v>
      </c>
      <c r="B1281" s="4" t="str">
        <f>"39712022060121535382522"</f>
        <v>39712022060121535382522</v>
      </c>
      <c r="C1281" s="4" t="s">
        <v>25</v>
      </c>
      <c r="D1281" s="4" t="str">
        <f>"郑金英"</f>
        <v>郑金英</v>
      </c>
      <c r="E1281" s="4" t="str">
        <f t="shared" si="63"/>
        <v>女</v>
      </c>
    </row>
    <row r="1282" spans="1:5" ht="30" customHeight="1">
      <c r="A1282" s="4">
        <v>1280</v>
      </c>
      <c r="B1282" s="4" t="str">
        <f>"39712022060122091482608"</f>
        <v>39712022060122091482608</v>
      </c>
      <c r="C1282" s="4" t="s">
        <v>25</v>
      </c>
      <c r="D1282" s="4" t="str">
        <f>"翁先仙"</f>
        <v>翁先仙</v>
      </c>
      <c r="E1282" s="4" t="str">
        <f t="shared" si="63"/>
        <v>女</v>
      </c>
    </row>
    <row r="1283" spans="1:5" ht="30" customHeight="1">
      <c r="A1283" s="4">
        <v>1281</v>
      </c>
      <c r="B1283" s="4" t="str">
        <f>"39712022060122222982681"</f>
        <v>39712022060122222982681</v>
      </c>
      <c r="C1283" s="4" t="s">
        <v>25</v>
      </c>
      <c r="D1283" s="4" t="str">
        <f>"梁玉祯"</f>
        <v>梁玉祯</v>
      </c>
      <c r="E1283" s="4" t="str">
        <f t="shared" si="63"/>
        <v>女</v>
      </c>
    </row>
    <row r="1284" spans="1:5" ht="30" customHeight="1">
      <c r="A1284" s="4">
        <v>1282</v>
      </c>
      <c r="B1284" s="4" t="str">
        <f>"39712022060122313682727"</f>
        <v>39712022060122313682727</v>
      </c>
      <c r="C1284" s="4" t="s">
        <v>25</v>
      </c>
      <c r="D1284" s="4" t="str">
        <f>"曾雨晨"</f>
        <v>曾雨晨</v>
      </c>
      <c r="E1284" s="4" t="str">
        <f t="shared" si="63"/>
        <v>女</v>
      </c>
    </row>
    <row r="1285" spans="1:5" ht="30" customHeight="1">
      <c r="A1285" s="4">
        <v>1283</v>
      </c>
      <c r="B1285" s="4" t="str">
        <f>"39712022060122330082735"</f>
        <v>39712022060122330082735</v>
      </c>
      <c r="C1285" s="4" t="s">
        <v>25</v>
      </c>
      <c r="D1285" s="4" t="str">
        <f>"张悦"</f>
        <v>张悦</v>
      </c>
      <c r="E1285" s="4" t="str">
        <f t="shared" si="63"/>
        <v>女</v>
      </c>
    </row>
    <row r="1286" spans="1:5" ht="30" customHeight="1">
      <c r="A1286" s="4">
        <v>1284</v>
      </c>
      <c r="B1286" s="4" t="str">
        <f>"39712022060122450382791"</f>
        <v>39712022060122450382791</v>
      </c>
      <c r="C1286" s="4" t="s">
        <v>25</v>
      </c>
      <c r="D1286" s="4" t="str">
        <f>"罗孙娜"</f>
        <v>罗孙娜</v>
      </c>
      <c r="E1286" s="4" t="str">
        <f t="shared" si="63"/>
        <v>女</v>
      </c>
    </row>
    <row r="1287" spans="1:5" ht="30" customHeight="1">
      <c r="A1287" s="4">
        <v>1285</v>
      </c>
      <c r="B1287" s="4" t="str">
        <f>"39712022060122454582794"</f>
        <v>39712022060122454582794</v>
      </c>
      <c r="C1287" s="4" t="s">
        <v>25</v>
      </c>
      <c r="D1287" s="4" t="str">
        <f>"陈立梅"</f>
        <v>陈立梅</v>
      </c>
      <c r="E1287" s="4" t="str">
        <f t="shared" si="63"/>
        <v>女</v>
      </c>
    </row>
    <row r="1288" spans="1:5" ht="30" customHeight="1">
      <c r="A1288" s="4">
        <v>1286</v>
      </c>
      <c r="B1288" s="4" t="str">
        <f>"39712022060122465382798"</f>
        <v>39712022060122465382798</v>
      </c>
      <c r="C1288" s="4" t="s">
        <v>25</v>
      </c>
      <c r="D1288" s="4" t="str">
        <f>"罗琼欣"</f>
        <v>罗琼欣</v>
      </c>
      <c r="E1288" s="4" t="str">
        <f t="shared" si="63"/>
        <v>女</v>
      </c>
    </row>
    <row r="1289" spans="1:5" ht="30" customHeight="1">
      <c r="A1289" s="4">
        <v>1287</v>
      </c>
      <c r="B1289" s="4" t="str">
        <f>"39712022060122481282803"</f>
        <v>39712022060122481282803</v>
      </c>
      <c r="C1289" s="4" t="s">
        <v>25</v>
      </c>
      <c r="D1289" s="4" t="str">
        <f>"谢紫婵"</f>
        <v>谢紫婵</v>
      </c>
      <c r="E1289" s="4" t="str">
        <f t="shared" si="63"/>
        <v>女</v>
      </c>
    </row>
    <row r="1290" spans="1:5" ht="30" customHeight="1">
      <c r="A1290" s="4">
        <v>1288</v>
      </c>
      <c r="B1290" s="4" t="str">
        <f>"39712022060122484282805"</f>
        <v>39712022060122484282805</v>
      </c>
      <c r="C1290" s="4" t="s">
        <v>25</v>
      </c>
      <c r="D1290" s="4" t="str">
        <f>"吴金惠"</f>
        <v>吴金惠</v>
      </c>
      <c r="E1290" s="4" t="str">
        <f t="shared" si="63"/>
        <v>女</v>
      </c>
    </row>
    <row r="1291" spans="1:5" ht="30" customHeight="1">
      <c r="A1291" s="4">
        <v>1289</v>
      </c>
      <c r="B1291" s="4" t="str">
        <f>"39712022060122552482844"</f>
        <v>39712022060122552482844</v>
      </c>
      <c r="C1291" s="4" t="s">
        <v>25</v>
      </c>
      <c r="D1291" s="4" t="str">
        <f>"杨兴"</f>
        <v>杨兴</v>
      </c>
      <c r="E1291" s="4" t="str">
        <f>"男"</f>
        <v>男</v>
      </c>
    </row>
    <row r="1292" spans="1:5" ht="30" customHeight="1">
      <c r="A1292" s="4">
        <v>1290</v>
      </c>
      <c r="B1292" s="4" t="str">
        <f>"39712022060122572282855"</f>
        <v>39712022060122572282855</v>
      </c>
      <c r="C1292" s="4" t="s">
        <v>25</v>
      </c>
      <c r="D1292" s="4" t="str">
        <f>"黄奕玲"</f>
        <v>黄奕玲</v>
      </c>
      <c r="E1292" s="4" t="str">
        <f aca="true" t="shared" si="64" ref="E1292:E1324">"女"</f>
        <v>女</v>
      </c>
    </row>
    <row r="1293" spans="1:5" ht="30" customHeight="1">
      <c r="A1293" s="4">
        <v>1291</v>
      </c>
      <c r="B1293" s="4" t="str">
        <f>"39712022060123074182892"</f>
        <v>39712022060123074182892</v>
      </c>
      <c r="C1293" s="4" t="s">
        <v>25</v>
      </c>
      <c r="D1293" s="4" t="str">
        <f>"史雪漫"</f>
        <v>史雪漫</v>
      </c>
      <c r="E1293" s="4" t="str">
        <f t="shared" si="64"/>
        <v>女</v>
      </c>
    </row>
    <row r="1294" spans="1:5" ht="30" customHeight="1">
      <c r="A1294" s="4">
        <v>1292</v>
      </c>
      <c r="B1294" s="4" t="str">
        <f>"39712022060123214082947"</f>
        <v>39712022060123214082947</v>
      </c>
      <c r="C1294" s="4" t="s">
        <v>25</v>
      </c>
      <c r="D1294" s="4" t="str">
        <f>"吴璇"</f>
        <v>吴璇</v>
      </c>
      <c r="E1294" s="4" t="str">
        <f t="shared" si="64"/>
        <v>女</v>
      </c>
    </row>
    <row r="1295" spans="1:5" ht="30" customHeight="1">
      <c r="A1295" s="4">
        <v>1293</v>
      </c>
      <c r="B1295" s="4" t="str">
        <f>"39712022060123463483007"</f>
        <v>39712022060123463483007</v>
      </c>
      <c r="C1295" s="4" t="s">
        <v>25</v>
      </c>
      <c r="D1295" s="4" t="str">
        <f>"苏向婷"</f>
        <v>苏向婷</v>
      </c>
      <c r="E1295" s="4" t="str">
        <f t="shared" si="64"/>
        <v>女</v>
      </c>
    </row>
    <row r="1296" spans="1:5" ht="30" customHeight="1">
      <c r="A1296" s="4">
        <v>1294</v>
      </c>
      <c r="B1296" s="4" t="str">
        <f>"39712022060123522183025"</f>
        <v>39712022060123522183025</v>
      </c>
      <c r="C1296" s="4" t="s">
        <v>25</v>
      </c>
      <c r="D1296" s="4" t="str">
        <f>"陈夏珍"</f>
        <v>陈夏珍</v>
      </c>
      <c r="E1296" s="4" t="str">
        <f t="shared" si="64"/>
        <v>女</v>
      </c>
    </row>
    <row r="1297" spans="1:5" ht="30" customHeight="1">
      <c r="A1297" s="4">
        <v>1295</v>
      </c>
      <c r="B1297" s="4" t="str">
        <f>"39712022060123534983030"</f>
        <v>39712022060123534983030</v>
      </c>
      <c r="C1297" s="4" t="s">
        <v>25</v>
      </c>
      <c r="D1297" s="4" t="str">
        <f>"陈卓"</f>
        <v>陈卓</v>
      </c>
      <c r="E1297" s="4" t="str">
        <f t="shared" si="64"/>
        <v>女</v>
      </c>
    </row>
    <row r="1298" spans="1:5" ht="30" customHeight="1">
      <c r="A1298" s="4">
        <v>1296</v>
      </c>
      <c r="B1298" s="4" t="str">
        <f>"39712022060200122583063"</f>
        <v>39712022060200122583063</v>
      </c>
      <c r="C1298" s="4" t="s">
        <v>25</v>
      </c>
      <c r="D1298" s="4" t="str">
        <f>"孙莲翠"</f>
        <v>孙莲翠</v>
      </c>
      <c r="E1298" s="4" t="str">
        <f t="shared" si="64"/>
        <v>女</v>
      </c>
    </row>
    <row r="1299" spans="1:5" ht="30" customHeight="1">
      <c r="A1299" s="4">
        <v>1297</v>
      </c>
      <c r="B1299" s="4" t="str">
        <f>"39712022060200210883077"</f>
        <v>39712022060200210883077</v>
      </c>
      <c r="C1299" s="4" t="s">
        <v>25</v>
      </c>
      <c r="D1299" s="4" t="str">
        <f>"杨飞燕"</f>
        <v>杨飞燕</v>
      </c>
      <c r="E1299" s="4" t="str">
        <f t="shared" si="64"/>
        <v>女</v>
      </c>
    </row>
    <row r="1300" spans="1:5" ht="30" customHeight="1">
      <c r="A1300" s="4">
        <v>1298</v>
      </c>
      <c r="B1300" s="4" t="str">
        <f>"39712022060200220583080"</f>
        <v>39712022060200220583080</v>
      </c>
      <c r="C1300" s="4" t="s">
        <v>25</v>
      </c>
      <c r="D1300" s="4" t="str">
        <f>"陈婷"</f>
        <v>陈婷</v>
      </c>
      <c r="E1300" s="4" t="str">
        <f t="shared" si="64"/>
        <v>女</v>
      </c>
    </row>
    <row r="1301" spans="1:5" ht="30" customHeight="1">
      <c r="A1301" s="4">
        <v>1299</v>
      </c>
      <c r="B1301" s="4" t="str">
        <f>"39712022060201210883123"</f>
        <v>39712022060201210883123</v>
      </c>
      <c r="C1301" s="4" t="s">
        <v>25</v>
      </c>
      <c r="D1301" s="4" t="str">
        <f>"陈丽倩"</f>
        <v>陈丽倩</v>
      </c>
      <c r="E1301" s="4" t="str">
        <f t="shared" si="64"/>
        <v>女</v>
      </c>
    </row>
    <row r="1302" spans="1:5" ht="30" customHeight="1">
      <c r="A1302" s="4">
        <v>1300</v>
      </c>
      <c r="B1302" s="4" t="str">
        <f>"39712022060206211183150"</f>
        <v>39712022060206211183150</v>
      </c>
      <c r="C1302" s="4" t="s">
        <v>25</v>
      </c>
      <c r="D1302" s="4" t="str">
        <f>"余洁"</f>
        <v>余洁</v>
      </c>
      <c r="E1302" s="4" t="str">
        <f t="shared" si="64"/>
        <v>女</v>
      </c>
    </row>
    <row r="1303" spans="1:5" ht="30" customHeight="1">
      <c r="A1303" s="4">
        <v>1301</v>
      </c>
      <c r="B1303" s="4" t="str">
        <f>"39712022060207274983190"</f>
        <v>39712022060207274983190</v>
      </c>
      <c r="C1303" s="4" t="s">
        <v>25</v>
      </c>
      <c r="D1303" s="4" t="str">
        <f>"周娇慧"</f>
        <v>周娇慧</v>
      </c>
      <c r="E1303" s="4" t="str">
        <f t="shared" si="64"/>
        <v>女</v>
      </c>
    </row>
    <row r="1304" spans="1:5" ht="30" customHeight="1">
      <c r="A1304" s="4">
        <v>1302</v>
      </c>
      <c r="B1304" s="4" t="str">
        <f>"39712022060208025283225"</f>
        <v>39712022060208025283225</v>
      </c>
      <c r="C1304" s="4" t="s">
        <v>25</v>
      </c>
      <c r="D1304" s="4" t="str">
        <f>"温欣"</f>
        <v>温欣</v>
      </c>
      <c r="E1304" s="4" t="str">
        <f t="shared" si="64"/>
        <v>女</v>
      </c>
    </row>
    <row r="1305" spans="1:5" ht="30" customHeight="1">
      <c r="A1305" s="4">
        <v>1303</v>
      </c>
      <c r="B1305" s="4" t="str">
        <f>"39712022060208105983247"</f>
        <v>39712022060208105983247</v>
      </c>
      <c r="C1305" s="4" t="s">
        <v>25</v>
      </c>
      <c r="D1305" s="4" t="str">
        <f>"陈秋妹"</f>
        <v>陈秋妹</v>
      </c>
      <c r="E1305" s="4" t="str">
        <f t="shared" si="64"/>
        <v>女</v>
      </c>
    </row>
    <row r="1306" spans="1:5" ht="30" customHeight="1">
      <c r="A1306" s="4">
        <v>1304</v>
      </c>
      <c r="B1306" s="4" t="str">
        <f>"39712022060208140483258"</f>
        <v>39712022060208140483258</v>
      </c>
      <c r="C1306" s="4" t="s">
        <v>25</v>
      </c>
      <c r="D1306" s="4" t="str">
        <f>"范艳红"</f>
        <v>范艳红</v>
      </c>
      <c r="E1306" s="4" t="str">
        <f t="shared" si="64"/>
        <v>女</v>
      </c>
    </row>
    <row r="1307" spans="1:5" ht="30" customHeight="1">
      <c r="A1307" s="4">
        <v>1305</v>
      </c>
      <c r="B1307" s="4" t="str">
        <f>"39712022060208213483292"</f>
        <v>39712022060208213483292</v>
      </c>
      <c r="C1307" s="4" t="s">
        <v>25</v>
      </c>
      <c r="D1307" s="4" t="str">
        <f>"向钰叶"</f>
        <v>向钰叶</v>
      </c>
      <c r="E1307" s="4" t="str">
        <f t="shared" si="64"/>
        <v>女</v>
      </c>
    </row>
    <row r="1308" spans="1:5" ht="30" customHeight="1">
      <c r="A1308" s="4">
        <v>1306</v>
      </c>
      <c r="B1308" s="4" t="str">
        <f>"39712022060208220983293"</f>
        <v>39712022060208220983293</v>
      </c>
      <c r="C1308" s="4" t="s">
        <v>25</v>
      </c>
      <c r="D1308" s="4" t="str">
        <f>"陈荣"</f>
        <v>陈荣</v>
      </c>
      <c r="E1308" s="4" t="str">
        <f t="shared" si="64"/>
        <v>女</v>
      </c>
    </row>
    <row r="1309" spans="1:5" ht="30" customHeight="1">
      <c r="A1309" s="4">
        <v>1307</v>
      </c>
      <c r="B1309" s="4" t="str">
        <f>"39712022060208264483308"</f>
        <v>39712022060208264483308</v>
      </c>
      <c r="C1309" s="4" t="s">
        <v>25</v>
      </c>
      <c r="D1309" s="4" t="str">
        <f>"卢施芬"</f>
        <v>卢施芬</v>
      </c>
      <c r="E1309" s="4" t="str">
        <f t="shared" si="64"/>
        <v>女</v>
      </c>
    </row>
    <row r="1310" spans="1:5" ht="30" customHeight="1">
      <c r="A1310" s="4">
        <v>1308</v>
      </c>
      <c r="B1310" s="4" t="str">
        <f>"39712022060208273883311"</f>
        <v>39712022060208273883311</v>
      </c>
      <c r="C1310" s="4" t="s">
        <v>25</v>
      </c>
      <c r="D1310" s="4" t="str">
        <f>"秦凰萍"</f>
        <v>秦凰萍</v>
      </c>
      <c r="E1310" s="4" t="str">
        <f t="shared" si="64"/>
        <v>女</v>
      </c>
    </row>
    <row r="1311" spans="1:5" ht="30" customHeight="1">
      <c r="A1311" s="4">
        <v>1309</v>
      </c>
      <c r="B1311" s="4" t="str">
        <f>"39712022060208283283318"</f>
        <v>39712022060208283283318</v>
      </c>
      <c r="C1311" s="4" t="s">
        <v>25</v>
      </c>
      <c r="D1311" s="4" t="str">
        <f>"黄冬富"</f>
        <v>黄冬富</v>
      </c>
      <c r="E1311" s="4" t="str">
        <f t="shared" si="64"/>
        <v>女</v>
      </c>
    </row>
    <row r="1312" spans="1:5" ht="30" customHeight="1">
      <c r="A1312" s="4">
        <v>1310</v>
      </c>
      <c r="B1312" s="4" t="str">
        <f>"39712022060208330583345"</f>
        <v>39712022060208330583345</v>
      </c>
      <c r="C1312" s="4" t="s">
        <v>25</v>
      </c>
      <c r="D1312" s="4" t="str">
        <f>"伍田"</f>
        <v>伍田</v>
      </c>
      <c r="E1312" s="4" t="str">
        <f t="shared" si="64"/>
        <v>女</v>
      </c>
    </row>
    <row r="1313" spans="1:5" ht="30" customHeight="1">
      <c r="A1313" s="4">
        <v>1311</v>
      </c>
      <c r="B1313" s="4" t="str">
        <f>"39712022060208345983357"</f>
        <v>39712022060208345983357</v>
      </c>
      <c r="C1313" s="4" t="s">
        <v>25</v>
      </c>
      <c r="D1313" s="4" t="str">
        <f>"刘文婷"</f>
        <v>刘文婷</v>
      </c>
      <c r="E1313" s="4" t="str">
        <f t="shared" si="64"/>
        <v>女</v>
      </c>
    </row>
    <row r="1314" spans="1:5" ht="30" customHeight="1">
      <c r="A1314" s="4">
        <v>1312</v>
      </c>
      <c r="B1314" s="4" t="str">
        <f>"39712022060208393783387"</f>
        <v>39712022060208393783387</v>
      </c>
      <c r="C1314" s="4" t="s">
        <v>25</v>
      </c>
      <c r="D1314" s="4" t="str">
        <f>"吴范仙"</f>
        <v>吴范仙</v>
      </c>
      <c r="E1314" s="4" t="str">
        <f t="shared" si="64"/>
        <v>女</v>
      </c>
    </row>
    <row r="1315" spans="1:5" ht="30" customHeight="1">
      <c r="A1315" s="4">
        <v>1313</v>
      </c>
      <c r="B1315" s="4" t="str">
        <f>"39712022060208443783417"</f>
        <v>39712022060208443783417</v>
      </c>
      <c r="C1315" s="4" t="s">
        <v>25</v>
      </c>
      <c r="D1315" s="4" t="str">
        <f>"陈星才"</f>
        <v>陈星才</v>
      </c>
      <c r="E1315" s="4" t="str">
        <f t="shared" si="64"/>
        <v>女</v>
      </c>
    </row>
    <row r="1316" spans="1:5" ht="30" customHeight="1">
      <c r="A1316" s="4">
        <v>1314</v>
      </c>
      <c r="B1316" s="4" t="str">
        <f>"39712022060208575683488"</f>
        <v>39712022060208575683488</v>
      </c>
      <c r="C1316" s="4" t="s">
        <v>25</v>
      </c>
      <c r="D1316" s="4" t="str">
        <f>"黄小云"</f>
        <v>黄小云</v>
      </c>
      <c r="E1316" s="4" t="str">
        <f t="shared" si="64"/>
        <v>女</v>
      </c>
    </row>
    <row r="1317" spans="1:5" ht="30" customHeight="1">
      <c r="A1317" s="4">
        <v>1315</v>
      </c>
      <c r="B1317" s="4" t="str">
        <f>"39712022060208593783497"</f>
        <v>39712022060208593783497</v>
      </c>
      <c r="C1317" s="4" t="s">
        <v>25</v>
      </c>
      <c r="D1317" s="4" t="str">
        <f>"冼恩嫚"</f>
        <v>冼恩嫚</v>
      </c>
      <c r="E1317" s="4" t="str">
        <f t="shared" si="64"/>
        <v>女</v>
      </c>
    </row>
    <row r="1318" spans="1:5" ht="30" customHeight="1">
      <c r="A1318" s="4">
        <v>1316</v>
      </c>
      <c r="B1318" s="4" t="str">
        <f>"39712022060209054783549"</f>
        <v>39712022060209054783549</v>
      </c>
      <c r="C1318" s="4" t="s">
        <v>25</v>
      </c>
      <c r="D1318" s="4" t="str">
        <f>"黄蓉花"</f>
        <v>黄蓉花</v>
      </c>
      <c r="E1318" s="4" t="str">
        <f t="shared" si="64"/>
        <v>女</v>
      </c>
    </row>
    <row r="1319" spans="1:5" ht="30" customHeight="1">
      <c r="A1319" s="4">
        <v>1317</v>
      </c>
      <c r="B1319" s="4" t="str">
        <f>"39712022060209055483551"</f>
        <v>39712022060209055483551</v>
      </c>
      <c r="C1319" s="4" t="s">
        <v>25</v>
      </c>
      <c r="D1319" s="4" t="str">
        <f>"王孟桃"</f>
        <v>王孟桃</v>
      </c>
      <c r="E1319" s="4" t="str">
        <f t="shared" si="64"/>
        <v>女</v>
      </c>
    </row>
    <row r="1320" spans="1:5" ht="30" customHeight="1">
      <c r="A1320" s="4">
        <v>1318</v>
      </c>
      <c r="B1320" s="4" t="str">
        <f>"39712022060209110483592"</f>
        <v>39712022060209110483592</v>
      </c>
      <c r="C1320" s="4" t="s">
        <v>25</v>
      </c>
      <c r="D1320" s="4" t="str">
        <f>"杨翠漫"</f>
        <v>杨翠漫</v>
      </c>
      <c r="E1320" s="4" t="str">
        <f t="shared" si="64"/>
        <v>女</v>
      </c>
    </row>
    <row r="1321" spans="1:5" ht="30" customHeight="1">
      <c r="A1321" s="4">
        <v>1319</v>
      </c>
      <c r="B1321" s="4" t="str">
        <f>"39712022060209123183602"</f>
        <v>39712022060209123183602</v>
      </c>
      <c r="C1321" s="4" t="s">
        <v>25</v>
      </c>
      <c r="D1321" s="4" t="str">
        <f>"王海雪"</f>
        <v>王海雪</v>
      </c>
      <c r="E1321" s="4" t="str">
        <f t="shared" si="64"/>
        <v>女</v>
      </c>
    </row>
    <row r="1322" spans="1:5" ht="30" customHeight="1">
      <c r="A1322" s="4">
        <v>1320</v>
      </c>
      <c r="B1322" s="4" t="str">
        <f>"39712022060209170383631"</f>
        <v>39712022060209170383631</v>
      </c>
      <c r="C1322" s="4" t="s">
        <v>25</v>
      </c>
      <c r="D1322" s="4" t="str">
        <f>"李书音"</f>
        <v>李书音</v>
      </c>
      <c r="E1322" s="4" t="str">
        <f t="shared" si="64"/>
        <v>女</v>
      </c>
    </row>
    <row r="1323" spans="1:5" ht="30" customHeight="1">
      <c r="A1323" s="4">
        <v>1321</v>
      </c>
      <c r="B1323" s="4" t="str">
        <f>"39712022060209190183647"</f>
        <v>39712022060209190183647</v>
      </c>
      <c r="C1323" s="4" t="s">
        <v>25</v>
      </c>
      <c r="D1323" s="4" t="str">
        <f>"王妤"</f>
        <v>王妤</v>
      </c>
      <c r="E1323" s="4" t="str">
        <f t="shared" si="64"/>
        <v>女</v>
      </c>
    </row>
    <row r="1324" spans="1:5" ht="30" customHeight="1">
      <c r="A1324" s="4">
        <v>1322</v>
      </c>
      <c r="B1324" s="4" t="str">
        <f>"39712022060209211883663"</f>
        <v>39712022060209211883663</v>
      </c>
      <c r="C1324" s="4" t="s">
        <v>25</v>
      </c>
      <c r="D1324" s="4" t="str">
        <f>"梁雪君"</f>
        <v>梁雪君</v>
      </c>
      <c r="E1324" s="4" t="str">
        <f t="shared" si="64"/>
        <v>女</v>
      </c>
    </row>
    <row r="1325" spans="1:5" ht="30" customHeight="1">
      <c r="A1325" s="4">
        <v>1323</v>
      </c>
      <c r="B1325" s="4" t="str">
        <f>"39712022060209265883701"</f>
        <v>39712022060209265883701</v>
      </c>
      <c r="C1325" s="4" t="s">
        <v>25</v>
      </c>
      <c r="D1325" s="4" t="str">
        <f>"林芳亮"</f>
        <v>林芳亮</v>
      </c>
      <c r="E1325" s="4" t="str">
        <f>"男"</f>
        <v>男</v>
      </c>
    </row>
    <row r="1326" spans="1:5" ht="30" customHeight="1">
      <c r="A1326" s="4">
        <v>1324</v>
      </c>
      <c r="B1326" s="4" t="str">
        <f>"39712022060209274383705"</f>
        <v>39712022060209274383705</v>
      </c>
      <c r="C1326" s="4" t="s">
        <v>25</v>
      </c>
      <c r="D1326" s="4" t="str">
        <f>"冯俏"</f>
        <v>冯俏</v>
      </c>
      <c r="E1326" s="4" t="str">
        <f>"女"</f>
        <v>女</v>
      </c>
    </row>
    <row r="1327" spans="1:5" ht="30" customHeight="1">
      <c r="A1327" s="4">
        <v>1325</v>
      </c>
      <c r="B1327" s="4" t="str">
        <f>"39712022060209292883719"</f>
        <v>39712022060209292883719</v>
      </c>
      <c r="C1327" s="4" t="s">
        <v>25</v>
      </c>
      <c r="D1327" s="4" t="str">
        <f>"郭春霞"</f>
        <v>郭春霞</v>
      </c>
      <c r="E1327" s="4" t="str">
        <f>"女"</f>
        <v>女</v>
      </c>
    </row>
    <row r="1328" spans="1:5" ht="30" customHeight="1">
      <c r="A1328" s="4">
        <v>1326</v>
      </c>
      <c r="B1328" s="4" t="str">
        <f>"39712022060209303083728"</f>
        <v>39712022060209303083728</v>
      </c>
      <c r="C1328" s="4" t="s">
        <v>25</v>
      </c>
      <c r="D1328" s="4" t="str">
        <f>"何鸣"</f>
        <v>何鸣</v>
      </c>
      <c r="E1328" s="4" t="str">
        <f>"女"</f>
        <v>女</v>
      </c>
    </row>
    <row r="1329" spans="1:5" ht="30" customHeight="1">
      <c r="A1329" s="4">
        <v>1327</v>
      </c>
      <c r="B1329" s="4" t="str">
        <f>"39712022060209332383744"</f>
        <v>39712022060209332383744</v>
      </c>
      <c r="C1329" s="4" t="s">
        <v>25</v>
      </c>
      <c r="D1329" s="4" t="str">
        <f>"周才裕"</f>
        <v>周才裕</v>
      </c>
      <c r="E1329" s="4" t="str">
        <f>"男"</f>
        <v>男</v>
      </c>
    </row>
    <row r="1330" spans="1:5" ht="30" customHeight="1">
      <c r="A1330" s="4">
        <v>1328</v>
      </c>
      <c r="B1330" s="4" t="str">
        <f>"39712022060209335983754"</f>
        <v>39712022060209335983754</v>
      </c>
      <c r="C1330" s="4" t="s">
        <v>25</v>
      </c>
      <c r="D1330" s="4" t="str">
        <f>"蔡彩霞"</f>
        <v>蔡彩霞</v>
      </c>
      <c r="E1330" s="4" t="str">
        <f aca="true" t="shared" si="65" ref="E1330:E1365">"女"</f>
        <v>女</v>
      </c>
    </row>
    <row r="1331" spans="1:5" ht="30" customHeight="1">
      <c r="A1331" s="4">
        <v>1329</v>
      </c>
      <c r="B1331" s="4" t="str">
        <f>"39712022060209362283772"</f>
        <v>39712022060209362283772</v>
      </c>
      <c r="C1331" s="4" t="s">
        <v>25</v>
      </c>
      <c r="D1331" s="4" t="str">
        <f>"李紫微"</f>
        <v>李紫微</v>
      </c>
      <c r="E1331" s="4" t="str">
        <f t="shared" si="65"/>
        <v>女</v>
      </c>
    </row>
    <row r="1332" spans="1:5" ht="30" customHeight="1">
      <c r="A1332" s="4">
        <v>1330</v>
      </c>
      <c r="B1332" s="4" t="str">
        <f>"39712022060209371183781"</f>
        <v>39712022060209371183781</v>
      </c>
      <c r="C1332" s="4" t="s">
        <v>25</v>
      </c>
      <c r="D1332" s="4" t="str">
        <f>"林佳铮"</f>
        <v>林佳铮</v>
      </c>
      <c r="E1332" s="4" t="str">
        <f t="shared" si="65"/>
        <v>女</v>
      </c>
    </row>
    <row r="1333" spans="1:5" ht="30" customHeight="1">
      <c r="A1333" s="4">
        <v>1331</v>
      </c>
      <c r="B1333" s="4" t="str">
        <f>"39712022060209433583830"</f>
        <v>39712022060209433583830</v>
      </c>
      <c r="C1333" s="4" t="s">
        <v>25</v>
      </c>
      <c r="D1333" s="4" t="str">
        <f>"李军联"</f>
        <v>李军联</v>
      </c>
      <c r="E1333" s="4" t="str">
        <f t="shared" si="65"/>
        <v>女</v>
      </c>
    </row>
    <row r="1334" spans="1:5" ht="30" customHeight="1">
      <c r="A1334" s="4">
        <v>1332</v>
      </c>
      <c r="B1334" s="4" t="str">
        <f>"39712022060209442983841"</f>
        <v>39712022060209442983841</v>
      </c>
      <c r="C1334" s="4" t="s">
        <v>25</v>
      </c>
      <c r="D1334" s="4" t="str">
        <f>"黄晓彤"</f>
        <v>黄晓彤</v>
      </c>
      <c r="E1334" s="4" t="str">
        <f t="shared" si="65"/>
        <v>女</v>
      </c>
    </row>
    <row r="1335" spans="1:5" ht="30" customHeight="1">
      <c r="A1335" s="4">
        <v>1333</v>
      </c>
      <c r="B1335" s="4" t="str">
        <f>"39712022060209470383856"</f>
        <v>39712022060209470383856</v>
      </c>
      <c r="C1335" s="4" t="s">
        <v>25</v>
      </c>
      <c r="D1335" s="4" t="str">
        <f>"朱俊俊"</f>
        <v>朱俊俊</v>
      </c>
      <c r="E1335" s="4" t="str">
        <f t="shared" si="65"/>
        <v>女</v>
      </c>
    </row>
    <row r="1336" spans="1:5" ht="30" customHeight="1">
      <c r="A1336" s="4">
        <v>1334</v>
      </c>
      <c r="B1336" s="4" t="str">
        <f>"39712022060209512483885"</f>
        <v>39712022060209512483885</v>
      </c>
      <c r="C1336" s="4" t="s">
        <v>25</v>
      </c>
      <c r="D1336" s="4" t="str">
        <f>"庞云引"</f>
        <v>庞云引</v>
      </c>
      <c r="E1336" s="4" t="str">
        <f t="shared" si="65"/>
        <v>女</v>
      </c>
    </row>
    <row r="1337" spans="1:5" ht="30" customHeight="1">
      <c r="A1337" s="4">
        <v>1335</v>
      </c>
      <c r="B1337" s="4" t="str">
        <f>"39712022060209520283889"</f>
        <v>39712022060209520283889</v>
      </c>
      <c r="C1337" s="4" t="s">
        <v>25</v>
      </c>
      <c r="D1337" s="4" t="str">
        <f>"陈小曼"</f>
        <v>陈小曼</v>
      </c>
      <c r="E1337" s="4" t="str">
        <f t="shared" si="65"/>
        <v>女</v>
      </c>
    </row>
    <row r="1338" spans="1:5" ht="30" customHeight="1">
      <c r="A1338" s="4">
        <v>1336</v>
      </c>
      <c r="B1338" s="4" t="str">
        <f>"39712022060209520583891"</f>
        <v>39712022060209520583891</v>
      </c>
      <c r="C1338" s="4" t="s">
        <v>25</v>
      </c>
      <c r="D1338" s="4" t="str">
        <f>"吴金玉"</f>
        <v>吴金玉</v>
      </c>
      <c r="E1338" s="4" t="str">
        <f t="shared" si="65"/>
        <v>女</v>
      </c>
    </row>
    <row r="1339" spans="1:5" ht="30" customHeight="1">
      <c r="A1339" s="4">
        <v>1337</v>
      </c>
      <c r="B1339" s="4" t="str">
        <f>"39712022060209540583912"</f>
        <v>39712022060209540583912</v>
      </c>
      <c r="C1339" s="4" t="s">
        <v>25</v>
      </c>
      <c r="D1339" s="4" t="str">
        <f>"王美君"</f>
        <v>王美君</v>
      </c>
      <c r="E1339" s="4" t="str">
        <f t="shared" si="65"/>
        <v>女</v>
      </c>
    </row>
    <row r="1340" spans="1:5" ht="30" customHeight="1">
      <c r="A1340" s="4">
        <v>1338</v>
      </c>
      <c r="B1340" s="4" t="str">
        <f>"39712022060209552083920"</f>
        <v>39712022060209552083920</v>
      </c>
      <c r="C1340" s="4" t="s">
        <v>25</v>
      </c>
      <c r="D1340" s="4" t="str">
        <f>"陈玉梅"</f>
        <v>陈玉梅</v>
      </c>
      <c r="E1340" s="4" t="str">
        <f t="shared" si="65"/>
        <v>女</v>
      </c>
    </row>
    <row r="1341" spans="1:5" ht="30" customHeight="1">
      <c r="A1341" s="4">
        <v>1339</v>
      </c>
      <c r="B1341" s="4" t="str">
        <f>"39712022060210010583952"</f>
        <v>39712022060210010583952</v>
      </c>
      <c r="C1341" s="4" t="s">
        <v>25</v>
      </c>
      <c r="D1341" s="4" t="str">
        <f>"周声芳"</f>
        <v>周声芳</v>
      </c>
      <c r="E1341" s="4" t="str">
        <f t="shared" si="65"/>
        <v>女</v>
      </c>
    </row>
    <row r="1342" spans="1:5" ht="30" customHeight="1">
      <c r="A1342" s="4">
        <v>1340</v>
      </c>
      <c r="B1342" s="4" t="str">
        <f>"39712022060210014383954"</f>
        <v>39712022060210014383954</v>
      </c>
      <c r="C1342" s="4" t="s">
        <v>25</v>
      </c>
      <c r="D1342" s="4" t="str">
        <f>"符望"</f>
        <v>符望</v>
      </c>
      <c r="E1342" s="4" t="str">
        <f t="shared" si="65"/>
        <v>女</v>
      </c>
    </row>
    <row r="1343" spans="1:5" ht="30" customHeight="1">
      <c r="A1343" s="4">
        <v>1341</v>
      </c>
      <c r="B1343" s="4" t="str">
        <f>"39712022060210050083980"</f>
        <v>39712022060210050083980</v>
      </c>
      <c r="C1343" s="4" t="s">
        <v>25</v>
      </c>
      <c r="D1343" s="4" t="str">
        <f>"郑秋红"</f>
        <v>郑秋红</v>
      </c>
      <c r="E1343" s="4" t="str">
        <f t="shared" si="65"/>
        <v>女</v>
      </c>
    </row>
    <row r="1344" spans="1:5" ht="30" customHeight="1">
      <c r="A1344" s="4">
        <v>1342</v>
      </c>
      <c r="B1344" s="4" t="str">
        <f>"39712022060210052283986"</f>
        <v>39712022060210052283986</v>
      </c>
      <c r="C1344" s="4" t="s">
        <v>25</v>
      </c>
      <c r="D1344" s="4" t="str">
        <f>"钟虹蕾"</f>
        <v>钟虹蕾</v>
      </c>
      <c r="E1344" s="4" t="str">
        <f t="shared" si="65"/>
        <v>女</v>
      </c>
    </row>
    <row r="1345" spans="1:5" ht="30" customHeight="1">
      <c r="A1345" s="4">
        <v>1343</v>
      </c>
      <c r="B1345" s="4" t="str">
        <f>"39712022060210101484018"</f>
        <v>39712022060210101484018</v>
      </c>
      <c r="C1345" s="4" t="s">
        <v>25</v>
      </c>
      <c r="D1345" s="4" t="str">
        <f>"罗明玲"</f>
        <v>罗明玲</v>
      </c>
      <c r="E1345" s="4" t="str">
        <f t="shared" si="65"/>
        <v>女</v>
      </c>
    </row>
    <row r="1346" spans="1:5" ht="30" customHeight="1">
      <c r="A1346" s="4">
        <v>1344</v>
      </c>
      <c r="B1346" s="4" t="str">
        <f>"39712022060210154584057"</f>
        <v>39712022060210154584057</v>
      </c>
      <c r="C1346" s="4" t="s">
        <v>25</v>
      </c>
      <c r="D1346" s="4" t="str">
        <f>"张小玉"</f>
        <v>张小玉</v>
      </c>
      <c r="E1346" s="4" t="str">
        <f t="shared" si="65"/>
        <v>女</v>
      </c>
    </row>
    <row r="1347" spans="1:5" ht="30" customHeight="1">
      <c r="A1347" s="4">
        <v>1345</v>
      </c>
      <c r="B1347" s="4" t="str">
        <f>"39712022060210193584087"</f>
        <v>39712022060210193584087</v>
      </c>
      <c r="C1347" s="4" t="s">
        <v>25</v>
      </c>
      <c r="D1347" s="4" t="str">
        <f>"符茵茵"</f>
        <v>符茵茵</v>
      </c>
      <c r="E1347" s="4" t="str">
        <f t="shared" si="65"/>
        <v>女</v>
      </c>
    </row>
    <row r="1348" spans="1:5" ht="30" customHeight="1">
      <c r="A1348" s="4">
        <v>1346</v>
      </c>
      <c r="B1348" s="4" t="str">
        <f>"39712022060210202684098"</f>
        <v>39712022060210202684098</v>
      </c>
      <c r="C1348" s="4" t="s">
        <v>25</v>
      </c>
      <c r="D1348" s="4" t="str">
        <f>"王芊"</f>
        <v>王芊</v>
      </c>
      <c r="E1348" s="4" t="str">
        <f t="shared" si="65"/>
        <v>女</v>
      </c>
    </row>
    <row r="1349" spans="1:5" ht="30" customHeight="1">
      <c r="A1349" s="4">
        <v>1347</v>
      </c>
      <c r="B1349" s="4" t="str">
        <f>"39712022060210220484117"</f>
        <v>39712022060210220484117</v>
      </c>
      <c r="C1349" s="4" t="s">
        <v>25</v>
      </c>
      <c r="D1349" s="4" t="str">
        <f>"翁海花"</f>
        <v>翁海花</v>
      </c>
      <c r="E1349" s="4" t="str">
        <f t="shared" si="65"/>
        <v>女</v>
      </c>
    </row>
    <row r="1350" spans="1:5" ht="30" customHeight="1">
      <c r="A1350" s="4">
        <v>1348</v>
      </c>
      <c r="B1350" s="4" t="str">
        <f>"39712022060210290484172"</f>
        <v>39712022060210290484172</v>
      </c>
      <c r="C1350" s="4" t="s">
        <v>25</v>
      </c>
      <c r="D1350" s="4" t="str">
        <f>"吴曼谊"</f>
        <v>吴曼谊</v>
      </c>
      <c r="E1350" s="4" t="str">
        <f t="shared" si="65"/>
        <v>女</v>
      </c>
    </row>
    <row r="1351" spans="1:5" ht="30" customHeight="1">
      <c r="A1351" s="4">
        <v>1349</v>
      </c>
      <c r="B1351" s="4" t="str">
        <f>"39712022060210301284179"</f>
        <v>39712022060210301284179</v>
      </c>
      <c r="C1351" s="4" t="s">
        <v>25</v>
      </c>
      <c r="D1351" s="4" t="str">
        <f>"龙玉艳"</f>
        <v>龙玉艳</v>
      </c>
      <c r="E1351" s="4" t="str">
        <f t="shared" si="65"/>
        <v>女</v>
      </c>
    </row>
    <row r="1352" spans="1:5" ht="30" customHeight="1">
      <c r="A1352" s="4">
        <v>1350</v>
      </c>
      <c r="B1352" s="4" t="str">
        <f>"39712022060210305584192"</f>
        <v>39712022060210305584192</v>
      </c>
      <c r="C1352" s="4" t="s">
        <v>25</v>
      </c>
      <c r="D1352" s="4" t="str">
        <f>"符华芳"</f>
        <v>符华芳</v>
      </c>
      <c r="E1352" s="4" t="str">
        <f t="shared" si="65"/>
        <v>女</v>
      </c>
    </row>
    <row r="1353" spans="1:5" ht="30" customHeight="1">
      <c r="A1353" s="4">
        <v>1351</v>
      </c>
      <c r="B1353" s="4" t="str">
        <f>"39712022060210313184198"</f>
        <v>39712022060210313184198</v>
      </c>
      <c r="C1353" s="4" t="s">
        <v>25</v>
      </c>
      <c r="D1353" s="4" t="str">
        <f>"朱秀梅"</f>
        <v>朱秀梅</v>
      </c>
      <c r="E1353" s="4" t="str">
        <f t="shared" si="65"/>
        <v>女</v>
      </c>
    </row>
    <row r="1354" spans="1:5" ht="30" customHeight="1">
      <c r="A1354" s="4">
        <v>1352</v>
      </c>
      <c r="B1354" s="4" t="str">
        <f>"39712022060210332784210"</f>
        <v>39712022060210332784210</v>
      </c>
      <c r="C1354" s="4" t="s">
        <v>25</v>
      </c>
      <c r="D1354" s="4" t="str">
        <f>"姚榕芳"</f>
        <v>姚榕芳</v>
      </c>
      <c r="E1354" s="4" t="str">
        <f t="shared" si="65"/>
        <v>女</v>
      </c>
    </row>
    <row r="1355" spans="1:5" ht="30" customHeight="1">
      <c r="A1355" s="4">
        <v>1353</v>
      </c>
      <c r="B1355" s="4" t="str">
        <f>"39712022060210355484227"</f>
        <v>39712022060210355484227</v>
      </c>
      <c r="C1355" s="4" t="s">
        <v>25</v>
      </c>
      <c r="D1355" s="4" t="str">
        <f>"赵爱菊"</f>
        <v>赵爱菊</v>
      </c>
      <c r="E1355" s="4" t="str">
        <f t="shared" si="65"/>
        <v>女</v>
      </c>
    </row>
    <row r="1356" spans="1:5" ht="30" customHeight="1">
      <c r="A1356" s="4">
        <v>1354</v>
      </c>
      <c r="B1356" s="4" t="str">
        <f>"39712022060210382184237"</f>
        <v>39712022060210382184237</v>
      </c>
      <c r="C1356" s="4" t="s">
        <v>25</v>
      </c>
      <c r="D1356" s="4" t="str">
        <f>"王玉菲"</f>
        <v>王玉菲</v>
      </c>
      <c r="E1356" s="4" t="str">
        <f t="shared" si="65"/>
        <v>女</v>
      </c>
    </row>
    <row r="1357" spans="1:5" ht="30" customHeight="1">
      <c r="A1357" s="4">
        <v>1355</v>
      </c>
      <c r="B1357" s="4" t="str">
        <f>"39712022060210392384249"</f>
        <v>39712022060210392384249</v>
      </c>
      <c r="C1357" s="4" t="s">
        <v>25</v>
      </c>
      <c r="D1357" s="4" t="str">
        <f>"陈善佳"</f>
        <v>陈善佳</v>
      </c>
      <c r="E1357" s="4" t="str">
        <f t="shared" si="65"/>
        <v>女</v>
      </c>
    </row>
    <row r="1358" spans="1:5" ht="30" customHeight="1">
      <c r="A1358" s="4">
        <v>1356</v>
      </c>
      <c r="B1358" s="4" t="str">
        <f>"39712022060210414584263"</f>
        <v>39712022060210414584263</v>
      </c>
      <c r="C1358" s="4" t="s">
        <v>25</v>
      </c>
      <c r="D1358" s="4" t="str">
        <f>"陈玉"</f>
        <v>陈玉</v>
      </c>
      <c r="E1358" s="4" t="str">
        <f t="shared" si="65"/>
        <v>女</v>
      </c>
    </row>
    <row r="1359" spans="1:5" ht="30" customHeight="1">
      <c r="A1359" s="4">
        <v>1357</v>
      </c>
      <c r="B1359" s="4" t="str">
        <f>"39712022060210431784277"</f>
        <v>39712022060210431784277</v>
      </c>
      <c r="C1359" s="4" t="s">
        <v>25</v>
      </c>
      <c r="D1359" s="4" t="str">
        <f>"谢思思"</f>
        <v>谢思思</v>
      </c>
      <c r="E1359" s="4" t="str">
        <f t="shared" si="65"/>
        <v>女</v>
      </c>
    </row>
    <row r="1360" spans="1:5" ht="30" customHeight="1">
      <c r="A1360" s="4">
        <v>1358</v>
      </c>
      <c r="B1360" s="4" t="str">
        <f>"39712022060210432884279"</f>
        <v>39712022060210432884279</v>
      </c>
      <c r="C1360" s="4" t="s">
        <v>25</v>
      </c>
      <c r="D1360" s="4" t="str">
        <f>"陈敏珠"</f>
        <v>陈敏珠</v>
      </c>
      <c r="E1360" s="4" t="str">
        <f t="shared" si="65"/>
        <v>女</v>
      </c>
    </row>
    <row r="1361" spans="1:5" ht="30" customHeight="1">
      <c r="A1361" s="4">
        <v>1359</v>
      </c>
      <c r="B1361" s="4" t="str">
        <f>"39712022060210440184283"</f>
        <v>39712022060210440184283</v>
      </c>
      <c r="C1361" s="4" t="s">
        <v>25</v>
      </c>
      <c r="D1361" s="4" t="str">
        <f>"莫金月"</f>
        <v>莫金月</v>
      </c>
      <c r="E1361" s="4" t="str">
        <f t="shared" si="65"/>
        <v>女</v>
      </c>
    </row>
    <row r="1362" spans="1:5" ht="30" customHeight="1">
      <c r="A1362" s="4">
        <v>1360</v>
      </c>
      <c r="B1362" s="4" t="str">
        <f>"39712022060210455984294"</f>
        <v>39712022060210455984294</v>
      </c>
      <c r="C1362" s="4" t="s">
        <v>25</v>
      </c>
      <c r="D1362" s="4" t="str">
        <f>"梁晓丹"</f>
        <v>梁晓丹</v>
      </c>
      <c r="E1362" s="4" t="str">
        <f t="shared" si="65"/>
        <v>女</v>
      </c>
    </row>
    <row r="1363" spans="1:5" ht="30" customHeight="1">
      <c r="A1363" s="4">
        <v>1361</v>
      </c>
      <c r="B1363" s="4" t="str">
        <f>"39712022060210462984299"</f>
        <v>39712022060210462984299</v>
      </c>
      <c r="C1363" s="4" t="s">
        <v>25</v>
      </c>
      <c r="D1363" s="4" t="str">
        <f>"符婷"</f>
        <v>符婷</v>
      </c>
      <c r="E1363" s="4" t="str">
        <f t="shared" si="65"/>
        <v>女</v>
      </c>
    </row>
    <row r="1364" spans="1:5" ht="30" customHeight="1">
      <c r="A1364" s="4">
        <v>1362</v>
      </c>
      <c r="B1364" s="4" t="str">
        <f>"39712022060210473184305"</f>
        <v>39712022060210473184305</v>
      </c>
      <c r="C1364" s="4" t="s">
        <v>25</v>
      </c>
      <c r="D1364" s="4" t="str">
        <f>"傅海星"</f>
        <v>傅海星</v>
      </c>
      <c r="E1364" s="4" t="str">
        <f t="shared" si="65"/>
        <v>女</v>
      </c>
    </row>
    <row r="1365" spans="1:5" ht="30" customHeight="1">
      <c r="A1365" s="4">
        <v>1363</v>
      </c>
      <c r="B1365" s="4" t="str">
        <f>"39712022060210481684308"</f>
        <v>39712022060210481684308</v>
      </c>
      <c r="C1365" s="4" t="s">
        <v>25</v>
      </c>
      <c r="D1365" s="4" t="str">
        <f>"许岸"</f>
        <v>许岸</v>
      </c>
      <c r="E1365" s="4" t="str">
        <f t="shared" si="65"/>
        <v>女</v>
      </c>
    </row>
    <row r="1366" spans="1:5" ht="30" customHeight="1">
      <c r="A1366" s="4">
        <v>1364</v>
      </c>
      <c r="B1366" s="4" t="str">
        <f>"39712022060210495784326"</f>
        <v>39712022060210495784326</v>
      </c>
      <c r="C1366" s="4" t="s">
        <v>25</v>
      </c>
      <c r="D1366" s="4" t="str">
        <f>"庞光亮"</f>
        <v>庞光亮</v>
      </c>
      <c r="E1366" s="4" t="str">
        <f>"男"</f>
        <v>男</v>
      </c>
    </row>
    <row r="1367" spans="1:5" ht="30" customHeight="1">
      <c r="A1367" s="4">
        <v>1365</v>
      </c>
      <c r="B1367" s="4" t="str">
        <f>"39712022060210501384327"</f>
        <v>39712022060210501384327</v>
      </c>
      <c r="C1367" s="4" t="s">
        <v>25</v>
      </c>
      <c r="D1367" s="4" t="str">
        <f>"王丹"</f>
        <v>王丹</v>
      </c>
      <c r="E1367" s="4" t="str">
        <f aca="true" t="shared" si="66" ref="E1367:E1410">"女"</f>
        <v>女</v>
      </c>
    </row>
    <row r="1368" spans="1:5" ht="30" customHeight="1">
      <c r="A1368" s="4">
        <v>1366</v>
      </c>
      <c r="B1368" s="4" t="str">
        <f>"39712022060210542584363"</f>
        <v>39712022060210542584363</v>
      </c>
      <c r="C1368" s="4" t="s">
        <v>25</v>
      </c>
      <c r="D1368" s="4" t="str">
        <f>"李丽萍"</f>
        <v>李丽萍</v>
      </c>
      <c r="E1368" s="4" t="str">
        <f t="shared" si="66"/>
        <v>女</v>
      </c>
    </row>
    <row r="1369" spans="1:5" ht="30" customHeight="1">
      <c r="A1369" s="4">
        <v>1367</v>
      </c>
      <c r="B1369" s="4" t="str">
        <f>"39712022060210561584374"</f>
        <v>39712022060210561584374</v>
      </c>
      <c r="C1369" s="4" t="s">
        <v>25</v>
      </c>
      <c r="D1369" s="4" t="str">
        <f>"彭金梅"</f>
        <v>彭金梅</v>
      </c>
      <c r="E1369" s="4" t="str">
        <f t="shared" si="66"/>
        <v>女</v>
      </c>
    </row>
    <row r="1370" spans="1:5" ht="30" customHeight="1">
      <c r="A1370" s="4">
        <v>1368</v>
      </c>
      <c r="B1370" s="4" t="str">
        <f>"39712022060210570884382"</f>
        <v>39712022060210570884382</v>
      </c>
      <c r="C1370" s="4" t="s">
        <v>25</v>
      </c>
      <c r="D1370" s="4" t="str">
        <f>"符磊"</f>
        <v>符磊</v>
      </c>
      <c r="E1370" s="4" t="str">
        <f t="shared" si="66"/>
        <v>女</v>
      </c>
    </row>
    <row r="1371" spans="1:5" ht="30" customHeight="1">
      <c r="A1371" s="4">
        <v>1369</v>
      </c>
      <c r="B1371" s="4" t="str">
        <f>"39712022060210584784393"</f>
        <v>39712022060210584784393</v>
      </c>
      <c r="C1371" s="4" t="s">
        <v>25</v>
      </c>
      <c r="D1371" s="4" t="str">
        <f>"宋振丹"</f>
        <v>宋振丹</v>
      </c>
      <c r="E1371" s="4" t="str">
        <f t="shared" si="66"/>
        <v>女</v>
      </c>
    </row>
    <row r="1372" spans="1:5" ht="30" customHeight="1">
      <c r="A1372" s="4">
        <v>1370</v>
      </c>
      <c r="B1372" s="4" t="str">
        <f>"39712022060211015584410"</f>
        <v>39712022060211015584410</v>
      </c>
      <c r="C1372" s="4" t="s">
        <v>25</v>
      </c>
      <c r="D1372" s="4" t="str">
        <f>"蔡金芝"</f>
        <v>蔡金芝</v>
      </c>
      <c r="E1372" s="4" t="str">
        <f t="shared" si="66"/>
        <v>女</v>
      </c>
    </row>
    <row r="1373" spans="1:5" ht="30" customHeight="1">
      <c r="A1373" s="4">
        <v>1371</v>
      </c>
      <c r="B1373" s="4" t="str">
        <f>"39712022060211034784426"</f>
        <v>39712022060211034784426</v>
      </c>
      <c r="C1373" s="4" t="s">
        <v>25</v>
      </c>
      <c r="D1373" s="4" t="str">
        <f>"黄艳"</f>
        <v>黄艳</v>
      </c>
      <c r="E1373" s="4" t="str">
        <f t="shared" si="66"/>
        <v>女</v>
      </c>
    </row>
    <row r="1374" spans="1:5" ht="30" customHeight="1">
      <c r="A1374" s="4">
        <v>1372</v>
      </c>
      <c r="B1374" s="4" t="str">
        <f>"39712022060211060184443"</f>
        <v>39712022060211060184443</v>
      </c>
      <c r="C1374" s="4" t="s">
        <v>25</v>
      </c>
      <c r="D1374" s="4" t="str">
        <f>"马世静"</f>
        <v>马世静</v>
      </c>
      <c r="E1374" s="4" t="str">
        <f t="shared" si="66"/>
        <v>女</v>
      </c>
    </row>
    <row r="1375" spans="1:5" ht="30" customHeight="1">
      <c r="A1375" s="4">
        <v>1373</v>
      </c>
      <c r="B1375" s="4" t="str">
        <f>"39712022060211072784453"</f>
        <v>39712022060211072784453</v>
      </c>
      <c r="C1375" s="4" t="s">
        <v>25</v>
      </c>
      <c r="D1375" s="4" t="str">
        <f>"李晶晶"</f>
        <v>李晶晶</v>
      </c>
      <c r="E1375" s="4" t="str">
        <f t="shared" si="66"/>
        <v>女</v>
      </c>
    </row>
    <row r="1376" spans="1:5" ht="30" customHeight="1">
      <c r="A1376" s="4">
        <v>1374</v>
      </c>
      <c r="B1376" s="4" t="str">
        <f>"39712022060211132484497"</f>
        <v>39712022060211132484497</v>
      </c>
      <c r="C1376" s="4" t="s">
        <v>25</v>
      </c>
      <c r="D1376" s="4" t="str">
        <f>"吉受玲"</f>
        <v>吉受玲</v>
      </c>
      <c r="E1376" s="4" t="str">
        <f t="shared" si="66"/>
        <v>女</v>
      </c>
    </row>
    <row r="1377" spans="1:5" ht="30" customHeight="1">
      <c r="A1377" s="4">
        <v>1375</v>
      </c>
      <c r="B1377" s="4" t="str">
        <f>"39712022060211154084513"</f>
        <v>39712022060211154084513</v>
      </c>
      <c r="C1377" s="4" t="s">
        <v>25</v>
      </c>
      <c r="D1377" s="4" t="str">
        <f>"罗全迷"</f>
        <v>罗全迷</v>
      </c>
      <c r="E1377" s="4" t="str">
        <f t="shared" si="66"/>
        <v>女</v>
      </c>
    </row>
    <row r="1378" spans="1:5" ht="30" customHeight="1">
      <c r="A1378" s="4">
        <v>1376</v>
      </c>
      <c r="B1378" s="4" t="str">
        <f>"39712022060211154184514"</f>
        <v>39712022060211154184514</v>
      </c>
      <c r="C1378" s="4" t="s">
        <v>25</v>
      </c>
      <c r="D1378" s="4" t="str">
        <f>"陈明月"</f>
        <v>陈明月</v>
      </c>
      <c r="E1378" s="4" t="str">
        <f t="shared" si="66"/>
        <v>女</v>
      </c>
    </row>
    <row r="1379" spans="1:5" ht="30" customHeight="1">
      <c r="A1379" s="4">
        <v>1377</v>
      </c>
      <c r="B1379" s="4" t="str">
        <f>"39712022060211184784537"</f>
        <v>39712022060211184784537</v>
      </c>
      <c r="C1379" s="4" t="s">
        <v>25</v>
      </c>
      <c r="D1379" s="4" t="str">
        <f>"杨朝雪"</f>
        <v>杨朝雪</v>
      </c>
      <c r="E1379" s="4" t="str">
        <f t="shared" si="66"/>
        <v>女</v>
      </c>
    </row>
    <row r="1380" spans="1:5" ht="30" customHeight="1">
      <c r="A1380" s="4">
        <v>1378</v>
      </c>
      <c r="B1380" s="4" t="str">
        <f>"39712022060211215984563"</f>
        <v>39712022060211215984563</v>
      </c>
      <c r="C1380" s="4" t="s">
        <v>25</v>
      </c>
      <c r="D1380" s="4" t="str">
        <f>"黄小怀"</f>
        <v>黄小怀</v>
      </c>
      <c r="E1380" s="4" t="str">
        <f t="shared" si="66"/>
        <v>女</v>
      </c>
    </row>
    <row r="1381" spans="1:5" ht="30" customHeight="1">
      <c r="A1381" s="4">
        <v>1379</v>
      </c>
      <c r="B1381" s="4" t="str">
        <f>"39712022060211231484568"</f>
        <v>39712022060211231484568</v>
      </c>
      <c r="C1381" s="4" t="s">
        <v>25</v>
      </c>
      <c r="D1381" s="4" t="str">
        <f>"陈和云"</f>
        <v>陈和云</v>
      </c>
      <c r="E1381" s="4" t="str">
        <f t="shared" si="66"/>
        <v>女</v>
      </c>
    </row>
    <row r="1382" spans="1:5" ht="30" customHeight="1">
      <c r="A1382" s="4">
        <v>1380</v>
      </c>
      <c r="B1382" s="4" t="str">
        <f>"39712022060211274384591"</f>
        <v>39712022060211274384591</v>
      </c>
      <c r="C1382" s="4" t="s">
        <v>25</v>
      </c>
      <c r="D1382" s="4" t="str">
        <f>"杨虹"</f>
        <v>杨虹</v>
      </c>
      <c r="E1382" s="4" t="str">
        <f t="shared" si="66"/>
        <v>女</v>
      </c>
    </row>
    <row r="1383" spans="1:5" ht="30" customHeight="1">
      <c r="A1383" s="4">
        <v>1381</v>
      </c>
      <c r="B1383" s="4" t="str">
        <f>"39712022060211284384596"</f>
        <v>39712022060211284384596</v>
      </c>
      <c r="C1383" s="4" t="s">
        <v>25</v>
      </c>
      <c r="D1383" s="4" t="str">
        <f>"黄秋娥"</f>
        <v>黄秋娥</v>
      </c>
      <c r="E1383" s="4" t="str">
        <f t="shared" si="66"/>
        <v>女</v>
      </c>
    </row>
    <row r="1384" spans="1:5" ht="30" customHeight="1">
      <c r="A1384" s="4">
        <v>1382</v>
      </c>
      <c r="B1384" s="4" t="str">
        <f>"39712022060211290584600"</f>
        <v>39712022060211290584600</v>
      </c>
      <c r="C1384" s="4" t="s">
        <v>25</v>
      </c>
      <c r="D1384" s="4" t="str">
        <f>"张靖诗"</f>
        <v>张靖诗</v>
      </c>
      <c r="E1384" s="4" t="str">
        <f t="shared" si="66"/>
        <v>女</v>
      </c>
    </row>
    <row r="1385" spans="1:5" ht="30" customHeight="1">
      <c r="A1385" s="4">
        <v>1383</v>
      </c>
      <c r="B1385" s="4" t="str">
        <f>"39712022060211294984605"</f>
        <v>39712022060211294984605</v>
      </c>
      <c r="C1385" s="4" t="s">
        <v>25</v>
      </c>
      <c r="D1385" s="4" t="str">
        <f>"王塑"</f>
        <v>王塑</v>
      </c>
      <c r="E1385" s="4" t="str">
        <f t="shared" si="66"/>
        <v>女</v>
      </c>
    </row>
    <row r="1386" spans="1:5" ht="30" customHeight="1">
      <c r="A1386" s="4">
        <v>1384</v>
      </c>
      <c r="B1386" s="4" t="str">
        <f>"39712022060211312984618"</f>
        <v>39712022060211312984618</v>
      </c>
      <c r="C1386" s="4" t="s">
        <v>25</v>
      </c>
      <c r="D1386" s="4" t="str">
        <f>"廖思思"</f>
        <v>廖思思</v>
      </c>
      <c r="E1386" s="4" t="str">
        <f t="shared" si="66"/>
        <v>女</v>
      </c>
    </row>
    <row r="1387" spans="1:5" ht="30" customHeight="1">
      <c r="A1387" s="4">
        <v>1385</v>
      </c>
      <c r="B1387" s="4" t="str">
        <f>"39712022060211363784642"</f>
        <v>39712022060211363784642</v>
      </c>
      <c r="C1387" s="4" t="s">
        <v>25</v>
      </c>
      <c r="D1387" s="4" t="str">
        <f>"卓怀珍"</f>
        <v>卓怀珍</v>
      </c>
      <c r="E1387" s="4" t="str">
        <f t="shared" si="66"/>
        <v>女</v>
      </c>
    </row>
    <row r="1388" spans="1:5" ht="30" customHeight="1">
      <c r="A1388" s="4">
        <v>1386</v>
      </c>
      <c r="B1388" s="4" t="str">
        <f>"39712022060211365684643"</f>
        <v>39712022060211365684643</v>
      </c>
      <c r="C1388" s="4" t="s">
        <v>25</v>
      </c>
      <c r="D1388" s="4" t="str">
        <f>"池景华"</f>
        <v>池景华</v>
      </c>
      <c r="E1388" s="4" t="str">
        <f t="shared" si="66"/>
        <v>女</v>
      </c>
    </row>
    <row r="1389" spans="1:5" ht="30" customHeight="1">
      <c r="A1389" s="4">
        <v>1387</v>
      </c>
      <c r="B1389" s="4" t="str">
        <f>"39712022060211370684645"</f>
        <v>39712022060211370684645</v>
      </c>
      <c r="C1389" s="4" t="s">
        <v>25</v>
      </c>
      <c r="D1389" s="4" t="str">
        <f>"李黑姑"</f>
        <v>李黑姑</v>
      </c>
      <c r="E1389" s="4" t="str">
        <f t="shared" si="66"/>
        <v>女</v>
      </c>
    </row>
    <row r="1390" spans="1:5" ht="30" customHeight="1">
      <c r="A1390" s="4">
        <v>1388</v>
      </c>
      <c r="B1390" s="4" t="str">
        <f>"39712022060211371384647"</f>
        <v>39712022060211371384647</v>
      </c>
      <c r="C1390" s="4" t="s">
        <v>25</v>
      </c>
      <c r="D1390" s="4" t="str">
        <f>"莫小玲"</f>
        <v>莫小玲</v>
      </c>
      <c r="E1390" s="4" t="str">
        <f t="shared" si="66"/>
        <v>女</v>
      </c>
    </row>
    <row r="1391" spans="1:5" ht="30" customHeight="1">
      <c r="A1391" s="4">
        <v>1389</v>
      </c>
      <c r="B1391" s="4" t="str">
        <f>"39712022060211381684656"</f>
        <v>39712022060211381684656</v>
      </c>
      <c r="C1391" s="4" t="s">
        <v>25</v>
      </c>
      <c r="D1391" s="4" t="str">
        <f>"李小芳"</f>
        <v>李小芳</v>
      </c>
      <c r="E1391" s="4" t="str">
        <f t="shared" si="66"/>
        <v>女</v>
      </c>
    </row>
    <row r="1392" spans="1:5" ht="30" customHeight="1">
      <c r="A1392" s="4">
        <v>1390</v>
      </c>
      <c r="B1392" s="4" t="str">
        <f>"39712022060211390484659"</f>
        <v>39712022060211390484659</v>
      </c>
      <c r="C1392" s="4" t="s">
        <v>25</v>
      </c>
      <c r="D1392" s="4" t="str">
        <f>"陈巧敏"</f>
        <v>陈巧敏</v>
      </c>
      <c r="E1392" s="4" t="str">
        <f t="shared" si="66"/>
        <v>女</v>
      </c>
    </row>
    <row r="1393" spans="1:5" ht="30" customHeight="1">
      <c r="A1393" s="4">
        <v>1391</v>
      </c>
      <c r="B1393" s="4" t="str">
        <f>"39712022060211405984675"</f>
        <v>39712022060211405984675</v>
      </c>
      <c r="C1393" s="4" t="s">
        <v>25</v>
      </c>
      <c r="D1393" s="4" t="str">
        <f>"林明娜"</f>
        <v>林明娜</v>
      </c>
      <c r="E1393" s="4" t="str">
        <f t="shared" si="66"/>
        <v>女</v>
      </c>
    </row>
    <row r="1394" spans="1:5" ht="30" customHeight="1">
      <c r="A1394" s="4">
        <v>1392</v>
      </c>
      <c r="B1394" s="4" t="str">
        <f>"39712022060211424784680"</f>
        <v>39712022060211424784680</v>
      </c>
      <c r="C1394" s="4" t="s">
        <v>25</v>
      </c>
      <c r="D1394" s="4" t="str">
        <f>"庞美娇"</f>
        <v>庞美娇</v>
      </c>
      <c r="E1394" s="4" t="str">
        <f t="shared" si="66"/>
        <v>女</v>
      </c>
    </row>
    <row r="1395" spans="1:5" ht="30" customHeight="1">
      <c r="A1395" s="4">
        <v>1393</v>
      </c>
      <c r="B1395" s="4" t="str">
        <f>"39712022060211432284688"</f>
        <v>39712022060211432284688</v>
      </c>
      <c r="C1395" s="4" t="s">
        <v>25</v>
      </c>
      <c r="D1395" s="4" t="str">
        <f>"唐小丽"</f>
        <v>唐小丽</v>
      </c>
      <c r="E1395" s="4" t="str">
        <f t="shared" si="66"/>
        <v>女</v>
      </c>
    </row>
    <row r="1396" spans="1:5" ht="30" customHeight="1">
      <c r="A1396" s="4">
        <v>1394</v>
      </c>
      <c r="B1396" s="4" t="str">
        <f>"39712022060211460184702"</f>
        <v>39712022060211460184702</v>
      </c>
      <c r="C1396" s="4" t="s">
        <v>25</v>
      </c>
      <c r="D1396" s="4" t="str">
        <f>"骆文雅"</f>
        <v>骆文雅</v>
      </c>
      <c r="E1396" s="4" t="str">
        <f t="shared" si="66"/>
        <v>女</v>
      </c>
    </row>
    <row r="1397" spans="1:5" ht="30" customHeight="1">
      <c r="A1397" s="4">
        <v>1395</v>
      </c>
      <c r="B1397" s="4" t="str">
        <f>"39712022060211505584722"</f>
        <v>39712022060211505584722</v>
      </c>
      <c r="C1397" s="4" t="s">
        <v>25</v>
      </c>
      <c r="D1397" s="4" t="str">
        <f>"王青梅"</f>
        <v>王青梅</v>
      </c>
      <c r="E1397" s="4" t="str">
        <f t="shared" si="66"/>
        <v>女</v>
      </c>
    </row>
    <row r="1398" spans="1:5" ht="30" customHeight="1">
      <c r="A1398" s="4">
        <v>1396</v>
      </c>
      <c r="B1398" s="4" t="str">
        <f>"39712022060211514484727"</f>
        <v>39712022060211514484727</v>
      </c>
      <c r="C1398" s="4" t="s">
        <v>25</v>
      </c>
      <c r="D1398" s="4" t="str">
        <f>"陈霄"</f>
        <v>陈霄</v>
      </c>
      <c r="E1398" s="4" t="str">
        <f t="shared" si="66"/>
        <v>女</v>
      </c>
    </row>
    <row r="1399" spans="1:5" ht="30" customHeight="1">
      <c r="A1399" s="4">
        <v>1397</v>
      </c>
      <c r="B1399" s="4" t="str">
        <f>"39712022060211535884739"</f>
        <v>39712022060211535884739</v>
      </c>
      <c r="C1399" s="4" t="s">
        <v>25</v>
      </c>
      <c r="D1399" s="4" t="str">
        <f>"邓惠丹"</f>
        <v>邓惠丹</v>
      </c>
      <c r="E1399" s="4" t="str">
        <f t="shared" si="66"/>
        <v>女</v>
      </c>
    </row>
    <row r="1400" spans="1:5" ht="30" customHeight="1">
      <c r="A1400" s="4">
        <v>1398</v>
      </c>
      <c r="B1400" s="4" t="str">
        <f>"39712022060211544784744"</f>
        <v>39712022060211544784744</v>
      </c>
      <c r="C1400" s="4" t="s">
        <v>25</v>
      </c>
      <c r="D1400" s="4" t="str">
        <f>"林佳婷"</f>
        <v>林佳婷</v>
      </c>
      <c r="E1400" s="4" t="str">
        <f t="shared" si="66"/>
        <v>女</v>
      </c>
    </row>
    <row r="1401" spans="1:5" ht="30" customHeight="1">
      <c r="A1401" s="4">
        <v>1399</v>
      </c>
      <c r="B1401" s="4" t="str">
        <f>"39712022060211594384760"</f>
        <v>39712022060211594384760</v>
      </c>
      <c r="C1401" s="4" t="s">
        <v>25</v>
      </c>
      <c r="D1401" s="4" t="str">
        <f>"胡正汝"</f>
        <v>胡正汝</v>
      </c>
      <c r="E1401" s="4" t="str">
        <f t="shared" si="66"/>
        <v>女</v>
      </c>
    </row>
    <row r="1402" spans="1:5" ht="30" customHeight="1">
      <c r="A1402" s="4">
        <v>1400</v>
      </c>
      <c r="B1402" s="4" t="str">
        <f>"39712022060212000884764"</f>
        <v>39712022060212000884764</v>
      </c>
      <c r="C1402" s="4" t="s">
        <v>25</v>
      </c>
      <c r="D1402" s="4" t="str">
        <f>"张贵媛"</f>
        <v>张贵媛</v>
      </c>
      <c r="E1402" s="4" t="str">
        <f t="shared" si="66"/>
        <v>女</v>
      </c>
    </row>
    <row r="1403" spans="1:5" ht="30" customHeight="1">
      <c r="A1403" s="4">
        <v>1401</v>
      </c>
      <c r="B1403" s="4" t="str">
        <f>"39712022060212032384779"</f>
        <v>39712022060212032384779</v>
      </c>
      <c r="C1403" s="4" t="s">
        <v>25</v>
      </c>
      <c r="D1403" s="4" t="str">
        <f>"董吉芬"</f>
        <v>董吉芬</v>
      </c>
      <c r="E1403" s="4" t="str">
        <f t="shared" si="66"/>
        <v>女</v>
      </c>
    </row>
    <row r="1404" spans="1:5" ht="30" customHeight="1">
      <c r="A1404" s="4">
        <v>1402</v>
      </c>
      <c r="B1404" s="4" t="str">
        <f>"39712022060212041684782"</f>
        <v>39712022060212041684782</v>
      </c>
      <c r="C1404" s="4" t="s">
        <v>25</v>
      </c>
      <c r="D1404" s="4" t="str">
        <f>"邢玉丽"</f>
        <v>邢玉丽</v>
      </c>
      <c r="E1404" s="4" t="str">
        <f t="shared" si="66"/>
        <v>女</v>
      </c>
    </row>
    <row r="1405" spans="1:5" ht="30" customHeight="1">
      <c r="A1405" s="4">
        <v>1403</v>
      </c>
      <c r="B1405" s="4" t="str">
        <f>"39712022060212051784789"</f>
        <v>39712022060212051784789</v>
      </c>
      <c r="C1405" s="4" t="s">
        <v>25</v>
      </c>
      <c r="D1405" s="4" t="str">
        <f>"洪利吉"</f>
        <v>洪利吉</v>
      </c>
      <c r="E1405" s="4" t="str">
        <f t="shared" si="66"/>
        <v>女</v>
      </c>
    </row>
    <row r="1406" spans="1:5" ht="30" customHeight="1">
      <c r="A1406" s="4">
        <v>1404</v>
      </c>
      <c r="B1406" s="4" t="str">
        <f>"39712022060212064984799"</f>
        <v>39712022060212064984799</v>
      </c>
      <c r="C1406" s="4" t="s">
        <v>25</v>
      </c>
      <c r="D1406" s="4" t="str">
        <f>"王萍"</f>
        <v>王萍</v>
      </c>
      <c r="E1406" s="4" t="str">
        <f t="shared" si="66"/>
        <v>女</v>
      </c>
    </row>
    <row r="1407" spans="1:5" ht="30" customHeight="1">
      <c r="A1407" s="4">
        <v>1405</v>
      </c>
      <c r="B1407" s="4" t="str">
        <f>"39712022060212090084815"</f>
        <v>39712022060212090084815</v>
      </c>
      <c r="C1407" s="4" t="s">
        <v>25</v>
      </c>
      <c r="D1407" s="4" t="str">
        <f>"陈曼"</f>
        <v>陈曼</v>
      </c>
      <c r="E1407" s="4" t="str">
        <f t="shared" si="66"/>
        <v>女</v>
      </c>
    </row>
    <row r="1408" spans="1:5" ht="30" customHeight="1">
      <c r="A1408" s="4">
        <v>1406</v>
      </c>
      <c r="B1408" s="4" t="str">
        <f>"39712022060212112484831"</f>
        <v>39712022060212112484831</v>
      </c>
      <c r="C1408" s="4" t="s">
        <v>25</v>
      </c>
      <c r="D1408" s="4" t="str">
        <f>"卢运芳"</f>
        <v>卢运芳</v>
      </c>
      <c r="E1408" s="4" t="str">
        <f t="shared" si="66"/>
        <v>女</v>
      </c>
    </row>
    <row r="1409" spans="1:5" ht="30" customHeight="1">
      <c r="A1409" s="4">
        <v>1407</v>
      </c>
      <c r="B1409" s="4" t="str">
        <f>"39712022060212115584836"</f>
        <v>39712022060212115584836</v>
      </c>
      <c r="C1409" s="4" t="s">
        <v>25</v>
      </c>
      <c r="D1409" s="4" t="str">
        <f>"蔡秋丽"</f>
        <v>蔡秋丽</v>
      </c>
      <c r="E1409" s="4" t="str">
        <f t="shared" si="66"/>
        <v>女</v>
      </c>
    </row>
    <row r="1410" spans="1:5" ht="30" customHeight="1">
      <c r="A1410" s="4">
        <v>1408</v>
      </c>
      <c r="B1410" s="4" t="str">
        <f>"39712022060212124484842"</f>
        <v>39712022060212124484842</v>
      </c>
      <c r="C1410" s="4" t="s">
        <v>25</v>
      </c>
      <c r="D1410" s="4" t="str">
        <f>"邱名巧"</f>
        <v>邱名巧</v>
      </c>
      <c r="E1410" s="4" t="str">
        <f t="shared" si="66"/>
        <v>女</v>
      </c>
    </row>
    <row r="1411" spans="1:5" ht="30" customHeight="1">
      <c r="A1411" s="4">
        <v>1409</v>
      </c>
      <c r="B1411" s="4" t="str">
        <f>"39712022060212143884850"</f>
        <v>39712022060212143884850</v>
      </c>
      <c r="C1411" s="4" t="s">
        <v>25</v>
      </c>
      <c r="D1411" s="4" t="str">
        <f>"张义鹏"</f>
        <v>张义鹏</v>
      </c>
      <c r="E1411" s="4" t="str">
        <f>"男"</f>
        <v>男</v>
      </c>
    </row>
    <row r="1412" spans="1:5" ht="30" customHeight="1">
      <c r="A1412" s="4">
        <v>1410</v>
      </c>
      <c r="B1412" s="4" t="str">
        <f>"39712022060212160384858"</f>
        <v>39712022060212160384858</v>
      </c>
      <c r="C1412" s="4" t="s">
        <v>25</v>
      </c>
      <c r="D1412" s="4" t="str">
        <f>"陈艳"</f>
        <v>陈艳</v>
      </c>
      <c r="E1412" s="4" t="str">
        <f aca="true" t="shared" si="67" ref="E1412:E1451">"女"</f>
        <v>女</v>
      </c>
    </row>
    <row r="1413" spans="1:5" ht="30" customHeight="1">
      <c r="A1413" s="4">
        <v>1411</v>
      </c>
      <c r="B1413" s="4" t="str">
        <f>"39712022060212293884929"</f>
        <v>39712022060212293884929</v>
      </c>
      <c r="C1413" s="4" t="s">
        <v>25</v>
      </c>
      <c r="D1413" s="4" t="str">
        <f>"陈益艳"</f>
        <v>陈益艳</v>
      </c>
      <c r="E1413" s="4" t="str">
        <f t="shared" si="67"/>
        <v>女</v>
      </c>
    </row>
    <row r="1414" spans="1:5" ht="30" customHeight="1">
      <c r="A1414" s="4">
        <v>1412</v>
      </c>
      <c r="B1414" s="4" t="str">
        <f>"39712022060212304984938"</f>
        <v>39712022060212304984938</v>
      </c>
      <c r="C1414" s="4" t="s">
        <v>25</v>
      </c>
      <c r="D1414" s="4" t="str">
        <f>"符玉美"</f>
        <v>符玉美</v>
      </c>
      <c r="E1414" s="4" t="str">
        <f t="shared" si="67"/>
        <v>女</v>
      </c>
    </row>
    <row r="1415" spans="1:5" ht="30" customHeight="1">
      <c r="A1415" s="4">
        <v>1413</v>
      </c>
      <c r="B1415" s="4" t="str">
        <f>"39712022060212315984948"</f>
        <v>39712022060212315984948</v>
      </c>
      <c r="C1415" s="4" t="s">
        <v>25</v>
      </c>
      <c r="D1415" s="4" t="str">
        <f>"吴云"</f>
        <v>吴云</v>
      </c>
      <c r="E1415" s="4" t="str">
        <f t="shared" si="67"/>
        <v>女</v>
      </c>
    </row>
    <row r="1416" spans="1:5" ht="30" customHeight="1">
      <c r="A1416" s="4">
        <v>1414</v>
      </c>
      <c r="B1416" s="4" t="str">
        <f>"39712022060212325484953"</f>
        <v>39712022060212325484953</v>
      </c>
      <c r="C1416" s="4" t="s">
        <v>25</v>
      </c>
      <c r="D1416" s="4" t="str">
        <f>"周小杨"</f>
        <v>周小杨</v>
      </c>
      <c r="E1416" s="4" t="str">
        <f t="shared" si="67"/>
        <v>女</v>
      </c>
    </row>
    <row r="1417" spans="1:5" ht="30" customHeight="1">
      <c r="A1417" s="4">
        <v>1415</v>
      </c>
      <c r="B1417" s="4" t="str">
        <f>"39712022060212330084955"</f>
        <v>39712022060212330084955</v>
      </c>
      <c r="C1417" s="4" t="s">
        <v>25</v>
      </c>
      <c r="D1417" s="4" t="str">
        <f>"李晓金"</f>
        <v>李晓金</v>
      </c>
      <c r="E1417" s="4" t="str">
        <f t="shared" si="67"/>
        <v>女</v>
      </c>
    </row>
    <row r="1418" spans="1:5" ht="30" customHeight="1">
      <c r="A1418" s="4">
        <v>1416</v>
      </c>
      <c r="B1418" s="4" t="str">
        <f>"39712022060212342284963"</f>
        <v>39712022060212342284963</v>
      </c>
      <c r="C1418" s="4" t="s">
        <v>25</v>
      </c>
      <c r="D1418" s="4" t="str">
        <f>"陈小雪"</f>
        <v>陈小雪</v>
      </c>
      <c r="E1418" s="4" t="str">
        <f t="shared" si="67"/>
        <v>女</v>
      </c>
    </row>
    <row r="1419" spans="1:5" ht="30" customHeight="1">
      <c r="A1419" s="4">
        <v>1417</v>
      </c>
      <c r="B1419" s="4" t="str">
        <f>"39712022060212382884992"</f>
        <v>39712022060212382884992</v>
      </c>
      <c r="C1419" s="4" t="s">
        <v>25</v>
      </c>
      <c r="D1419" s="4" t="str">
        <f>"陈丽萍"</f>
        <v>陈丽萍</v>
      </c>
      <c r="E1419" s="4" t="str">
        <f t="shared" si="67"/>
        <v>女</v>
      </c>
    </row>
    <row r="1420" spans="1:5" ht="30" customHeight="1">
      <c r="A1420" s="4">
        <v>1418</v>
      </c>
      <c r="B1420" s="4" t="str">
        <f>"39712022060212391284996"</f>
        <v>39712022060212391284996</v>
      </c>
      <c r="C1420" s="4" t="s">
        <v>25</v>
      </c>
      <c r="D1420" s="4" t="str">
        <f>"钟珍波"</f>
        <v>钟珍波</v>
      </c>
      <c r="E1420" s="4" t="str">
        <f t="shared" si="67"/>
        <v>女</v>
      </c>
    </row>
    <row r="1421" spans="1:5" ht="30" customHeight="1">
      <c r="A1421" s="4">
        <v>1419</v>
      </c>
      <c r="B1421" s="4" t="str">
        <f>"39712022060212421285010"</f>
        <v>39712022060212421285010</v>
      </c>
      <c r="C1421" s="4" t="s">
        <v>25</v>
      </c>
      <c r="D1421" s="4" t="str">
        <f>"黄团团"</f>
        <v>黄团团</v>
      </c>
      <c r="E1421" s="4" t="str">
        <f t="shared" si="67"/>
        <v>女</v>
      </c>
    </row>
    <row r="1422" spans="1:5" ht="30" customHeight="1">
      <c r="A1422" s="4">
        <v>1420</v>
      </c>
      <c r="B1422" s="4" t="str">
        <f>"39712022060212430285015"</f>
        <v>39712022060212430285015</v>
      </c>
      <c r="C1422" s="4" t="s">
        <v>25</v>
      </c>
      <c r="D1422" s="4" t="str">
        <f>"谭红晓"</f>
        <v>谭红晓</v>
      </c>
      <c r="E1422" s="4" t="str">
        <f t="shared" si="67"/>
        <v>女</v>
      </c>
    </row>
    <row r="1423" spans="1:5" ht="30" customHeight="1">
      <c r="A1423" s="4">
        <v>1421</v>
      </c>
      <c r="B1423" s="4" t="str">
        <f>"39712022060212435485021"</f>
        <v>39712022060212435485021</v>
      </c>
      <c r="C1423" s="4" t="s">
        <v>25</v>
      </c>
      <c r="D1423" s="4" t="str">
        <f>"盛萌"</f>
        <v>盛萌</v>
      </c>
      <c r="E1423" s="4" t="str">
        <f t="shared" si="67"/>
        <v>女</v>
      </c>
    </row>
    <row r="1424" spans="1:5" ht="30" customHeight="1">
      <c r="A1424" s="4">
        <v>1422</v>
      </c>
      <c r="B1424" s="4" t="str">
        <f>"39712022060212445685026"</f>
        <v>39712022060212445685026</v>
      </c>
      <c r="C1424" s="4" t="s">
        <v>25</v>
      </c>
      <c r="D1424" s="4" t="str">
        <f>"林姑"</f>
        <v>林姑</v>
      </c>
      <c r="E1424" s="4" t="str">
        <f t="shared" si="67"/>
        <v>女</v>
      </c>
    </row>
    <row r="1425" spans="1:5" ht="30" customHeight="1">
      <c r="A1425" s="4">
        <v>1423</v>
      </c>
      <c r="B1425" s="4" t="str">
        <f>"39712022060212452685031"</f>
        <v>39712022060212452685031</v>
      </c>
      <c r="C1425" s="4" t="s">
        <v>25</v>
      </c>
      <c r="D1425" s="4" t="str">
        <f>"王茹意"</f>
        <v>王茹意</v>
      </c>
      <c r="E1425" s="4" t="str">
        <f t="shared" si="67"/>
        <v>女</v>
      </c>
    </row>
    <row r="1426" spans="1:5" ht="30" customHeight="1">
      <c r="A1426" s="4">
        <v>1424</v>
      </c>
      <c r="B1426" s="4" t="str">
        <f>"39712022060212475385044"</f>
        <v>39712022060212475385044</v>
      </c>
      <c r="C1426" s="4" t="s">
        <v>25</v>
      </c>
      <c r="D1426" s="4" t="str">
        <f>"李娇艳"</f>
        <v>李娇艳</v>
      </c>
      <c r="E1426" s="4" t="str">
        <f t="shared" si="67"/>
        <v>女</v>
      </c>
    </row>
    <row r="1427" spans="1:5" ht="30" customHeight="1">
      <c r="A1427" s="4">
        <v>1425</v>
      </c>
      <c r="B1427" s="4" t="str">
        <f>"39712022060212483385048"</f>
        <v>39712022060212483385048</v>
      </c>
      <c r="C1427" s="4" t="s">
        <v>25</v>
      </c>
      <c r="D1427" s="4" t="str">
        <f>"张小梅"</f>
        <v>张小梅</v>
      </c>
      <c r="E1427" s="4" t="str">
        <f t="shared" si="67"/>
        <v>女</v>
      </c>
    </row>
    <row r="1428" spans="1:5" ht="30" customHeight="1">
      <c r="A1428" s="4">
        <v>1426</v>
      </c>
      <c r="B1428" s="4" t="str">
        <f>"39712022060212520985073"</f>
        <v>39712022060212520985073</v>
      </c>
      <c r="C1428" s="4" t="s">
        <v>25</v>
      </c>
      <c r="D1428" s="4" t="str">
        <f>"文燕青"</f>
        <v>文燕青</v>
      </c>
      <c r="E1428" s="4" t="str">
        <f t="shared" si="67"/>
        <v>女</v>
      </c>
    </row>
    <row r="1429" spans="1:5" ht="30" customHeight="1">
      <c r="A1429" s="4">
        <v>1427</v>
      </c>
      <c r="B1429" s="4" t="str">
        <f>"39712022060213035585134"</f>
        <v>39712022060213035585134</v>
      </c>
      <c r="C1429" s="4" t="s">
        <v>25</v>
      </c>
      <c r="D1429" s="4" t="str">
        <f>"李小梦"</f>
        <v>李小梦</v>
      </c>
      <c r="E1429" s="4" t="str">
        <f t="shared" si="67"/>
        <v>女</v>
      </c>
    </row>
    <row r="1430" spans="1:5" ht="30" customHeight="1">
      <c r="A1430" s="4">
        <v>1428</v>
      </c>
      <c r="B1430" s="4" t="str">
        <f>"39712022060213041285136"</f>
        <v>39712022060213041285136</v>
      </c>
      <c r="C1430" s="4" t="s">
        <v>25</v>
      </c>
      <c r="D1430" s="4" t="str">
        <f>"关义侠"</f>
        <v>关义侠</v>
      </c>
      <c r="E1430" s="4" t="str">
        <f t="shared" si="67"/>
        <v>女</v>
      </c>
    </row>
    <row r="1431" spans="1:5" ht="30" customHeight="1">
      <c r="A1431" s="4">
        <v>1429</v>
      </c>
      <c r="B1431" s="4" t="str">
        <f>"39712022060213051085142"</f>
        <v>39712022060213051085142</v>
      </c>
      <c r="C1431" s="4" t="s">
        <v>25</v>
      </c>
      <c r="D1431" s="4" t="str">
        <f>"符凤香"</f>
        <v>符凤香</v>
      </c>
      <c r="E1431" s="4" t="str">
        <f t="shared" si="67"/>
        <v>女</v>
      </c>
    </row>
    <row r="1432" spans="1:5" ht="30" customHeight="1">
      <c r="A1432" s="4">
        <v>1430</v>
      </c>
      <c r="B1432" s="4" t="str">
        <f>"39712022060213115085177"</f>
        <v>39712022060213115085177</v>
      </c>
      <c r="C1432" s="4" t="s">
        <v>25</v>
      </c>
      <c r="D1432" s="4" t="str">
        <f>"何丽花"</f>
        <v>何丽花</v>
      </c>
      <c r="E1432" s="4" t="str">
        <f t="shared" si="67"/>
        <v>女</v>
      </c>
    </row>
    <row r="1433" spans="1:5" ht="30" customHeight="1">
      <c r="A1433" s="4">
        <v>1431</v>
      </c>
      <c r="B1433" s="4" t="str">
        <f>"39712022060213181785201"</f>
        <v>39712022060213181785201</v>
      </c>
      <c r="C1433" s="4" t="s">
        <v>25</v>
      </c>
      <c r="D1433" s="4" t="str">
        <f>"李文丽"</f>
        <v>李文丽</v>
      </c>
      <c r="E1433" s="4" t="str">
        <f t="shared" si="67"/>
        <v>女</v>
      </c>
    </row>
    <row r="1434" spans="1:5" ht="30" customHeight="1">
      <c r="A1434" s="4">
        <v>1432</v>
      </c>
      <c r="B1434" s="4" t="str">
        <f>"39712022060213232485222"</f>
        <v>39712022060213232485222</v>
      </c>
      <c r="C1434" s="4" t="s">
        <v>25</v>
      </c>
      <c r="D1434" s="4" t="str">
        <f>"符王玉"</f>
        <v>符王玉</v>
      </c>
      <c r="E1434" s="4" t="str">
        <f t="shared" si="67"/>
        <v>女</v>
      </c>
    </row>
    <row r="1435" spans="1:5" ht="30" customHeight="1">
      <c r="A1435" s="4">
        <v>1433</v>
      </c>
      <c r="B1435" s="4" t="str">
        <f>"39712022060213244585228"</f>
        <v>39712022060213244585228</v>
      </c>
      <c r="C1435" s="4" t="s">
        <v>25</v>
      </c>
      <c r="D1435" s="4" t="str">
        <f>"董江娥"</f>
        <v>董江娥</v>
      </c>
      <c r="E1435" s="4" t="str">
        <f t="shared" si="67"/>
        <v>女</v>
      </c>
    </row>
    <row r="1436" spans="1:5" ht="30" customHeight="1">
      <c r="A1436" s="4">
        <v>1434</v>
      </c>
      <c r="B1436" s="4" t="str">
        <f>"39712022060213324885266"</f>
        <v>39712022060213324885266</v>
      </c>
      <c r="C1436" s="4" t="s">
        <v>25</v>
      </c>
      <c r="D1436" s="4" t="str">
        <f>"陈庆丽"</f>
        <v>陈庆丽</v>
      </c>
      <c r="E1436" s="4" t="str">
        <f t="shared" si="67"/>
        <v>女</v>
      </c>
    </row>
    <row r="1437" spans="1:5" ht="30" customHeight="1">
      <c r="A1437" s="4">
        <v>1435</v>
      </c>
      <c r="B1437" s="4" t="str">
        <f>"39712022060213335985274"</f>
        <v>39712022060213335985274</v>
      </c>
      <c r="C1437" s="4" t="s">
        <v>25</v>
      </c>
      <c r="D1437" s="4" t="str">
        <f>"朱博坚"</f>
        <v>朱博坚</v>
      </c>
      <c r="E1437" s="4" t="str">
        <f t="shared" si="67"/>
        <v>女</v>
      </c>
    </row>
    <row r="1438" spans="1:5" ht="30" customHeight="1">
      <c r="A1438" s="4">
        <v>1436</v>
      </c>
      <c r="B1438" s="4" t="str">
        <f>"39712022060213353385281"</f>
        <v>39712022060213353385281</v>
      </c>
      <c r="C1438" s="4" t="s">
        <v>25</v>
      </c>
      <c r="D1438" s="4" t="str">
        <f>"苏春秀"</f>
        <v>苏春秀</v>
      </c>
      <c r="E1438" s="4" t="str">
        <f t="shared" si="67"/>
        <v>女</v>
      </c>
    </row>
    <row r="1439" spans="1:5" ht="30" customHeight="1">
      <c r="A1439" s="4">
        <v>1437</v>
      </c>
      <c r="B1439" s="4" t="str">
        <f>"39712022060213383985296"</f>
        <v>39712022060213383985296</v>
      </c>
      <c r="C1439" s="4" t="s">
        <v>25</v>
      </c>
      <c r="D1439" s="4" t="str">
        <f>"王小敏"</f>
        <v>王小敏</v>
      </c>
      <c r="E1439" s="4" t="str">
        <f t="shared" si="67"/>
        <v>女</v>
      </c>
    </row>
    <row r="1440" spans="1:5" ht="30" customHeight="1">
      <c r="A1440" s="4">
        <v>1438</v>
      </c>
      <c r="B1440" s="4" t="str">
        <f>"39712022060213431985316"</f>
        <v>39712022060213431985316</v>
      </c>
      <c r="C1440" s="4" t="s">
        <v>25</v>
      </c>
      <c r="D1440" s="4" t="str">
        <f>"林燕青"</f>
        <v>林燕青</v>
      </c>
      <c r="E1440" s="4" t="str">
        <f t="shared" si="67"/>
        <v>女</v>
      </c>
    </row>
    <row r="1441" spans="1:5" ht="30" customHeight="1">
      <c r="A1441" s="4">
        <v>1439</v>
      </c>
      <c r="B1441" s="4" t="str">
        <f>"39712022060213475985336"</f>
        <v>39712022060213475985336</v>
      </c>
      <c r="C1441" s="4" t="s">
        <v>25</v>
      </c>
      <c r="D1441" s="4" t="str">
        <f>"李丽君"</f>
        <v>李丽君</v>
      </c>
      <c r="E1441" s="4" t="str">
        <f t="shared" si="67"/>
        <v>女</v>
      </c>
    </row>
    <row r="1442" spans="1:5" ht="30" customHeight="1">
      <c r="A1442" s="4">
        <v>1440</v>
      </c>
      <c r="B1442" s="4" t="str">
        <f>"39712022060213512885348"</f>
        <v>39712022060213512885348</v>
      </c>
      <c r="C1442" s="4" t="s">
        <v>25</v>
      </c>
      <c r="D1442" s="4" t="str">
        <f>"钟文莹"</f>
        <v>钟文莹</v>
      </c>
      <c r="E1442" s="4" t="str">
        <f t="shared" si="67"/>
        <v>女</v>
      </c>
    </row>
    <row r="1443" spans="1:5" ht="30" customHeight="1">
      <c r="A1443" s="4">
        <v>1441</v>
      </c>
      <c r="B1443" s="4" t="str">
        <f>"39712022060214090885414"</f>
        <v>39712022060214090885414</v>
      </c>
      <c r="C1443" s="4" t="s">
        <v>25</v>
      </c>
      <c r="D1443" s="4" t="str">
        <f>"莫俊静"</f>
        <v>莫俊静</v>
      </c>
      <c r="E1443" s="4" t="str">
        <f t="shared" si="67"/>
        <v>女</v>
      </c>
    </row>
    <row r="1444" spans="1:5" ht="30" customHeight="1">
      <c r="A1444" s="4">
        <v>1442</v>
      </c>
      <c r="B1444" s="4" t="str">
        <f>"39712022060214253885481"</f>
        <v>39712022060214253885481</v>
      </c>
      <c r="C1444" s="4" t="s">
        <v>25</v>
      </c>
      <c r="D1444" s="4" t="str">
        <f>"罗红娇"</f>
        <v>罗红娇</v>
      </c>
      <c r="E1444" s="4" t="str">
        <f t="shared" si="67"/>
        <v>女</v>
      </c>
    </row>
    <row r="1445" spans="1:5" ht="30" customHeight="1">
      <c r="A1445" s="4">
        <v>1443</v>
      </c>
      <c r="B1445" s="4" t="str">
        <f>"39712022060214344185518"</f>
        <v>39712022060214344185518</v>
      </c>
      <c r="C1445" s="4" t="s">
        <v>25</v>
      </c>
      <c r="D1445" s="4" t="str">
        <f>"王晓春"</f>
        <v>王晓春</v>
      </c>
      <c r="E1445" s="4" t="str">
        <f t="shared" si="67"/>
        <v>女</v>
      </c>
    </row>
    <row r="1446" spans="1:5" ht="30" customHeight="1">
      <c r="A1446" s="4">
        <v>1444</v>
      </c>
      <c r="B1446" s="4" t="str">
        <f>"39712022060214431785546"</f>
        <v>39712022060214431785546</v>
      </c>
      <c r="C1446" s="4" t="s">
        <v>25</v>
      </c>
      <c r="D1446" s="4" t="str">
        <f>"黄宝"</f>
        <v>黄宝</v>
      </c>
      <c r="E1446" s="4" t="str">
        <f t="shared" si="67"/>
        <v>女</v>
      </c>
    </row>
    <row r="1447" spans="1:5" ht="30" customHeight="1">
      <c r="A1447" s="4">
        <v>1445</v>
      </c>
      <c r="B1447" s="4" t="str">
        <f>"39712022060214443585556"</f>
        <v>39712022060214443585556</v>
      </c>
      <c r="C1447" s="4" t="s">
        <v>25</v>
      </c>
      <c r="D1447" s="4" t="str">
        <f>"谭莎莎"</f>
        <v>谭莎莎</v>
      </c>
      <c r="E1447" s="4" t="str">
        <f t="shared" si="67"/>
        <v>女</v>
      </c>
    </row>
    <row r="1448" spans="1:5" ht="30" customHeight="1">
      <c r="A1448" s="4">
        <v>1446</v>
      </c>
      <c r="B1448" s="4" t="str">
        <f>"39712022060214462885566"</f>
        <v>39712022060214462885566</v>
      </c>
      <c r="C1448" s="4" t="s">
        <v>25</v>
      </c>
      <c r="D1448" s="4" t="str">
        <f>"曾显花"</f>
        <v>曾显花</v>
      </c>
      <c r="E1448" s="4" t="str">
        <f t="shared" si="67"/>
        <v>女</v>
      </c>
    </row>
    <row r="1449" spans="1:5" ht="30" customHeight="1">
      <c r="A1449" s="4">
        <v>1447</v>
      </c>
      <c r="B1449" s="4" t="str">
        <f>"39712022060214510885596"</f>
        <v>39712022060214510885596</v>
      </c>
      <c r="C1449" s="4" t="s">
        <v>25</v>
      </c>
      <c r="D1449" s="4" t="str">
        <f>"李小婷"</f>
        <v>李小婷</v>
      </c>
      <c r="E1449" s="4" t="str">
        <f t="shared" si="67"/>
        <v>女</v>
      </c>
    </row>
    <row r="1450" spans="1:5" ht="30" customHeight="1">
      <c r="A1450" s="4">
        <v>1448</v>
      </c>
      <c r="B1450" s="4" t="str">
        <f>"39712022060214555385626"</f>
        <v>39712022060214555385626</v>
      </c>
      <c r="C1450" s="4" t="s">
        <v>25</v>
      </c>
      <c r="D1450" s="4" t="str">
        <f>"陈媛"</f>
        <v>陈媛</v>
      </c>
      <c r="E1450" s="4" t="str">
        <f t="shared" si="67"/>
        <v>女</v>
      </c>
    </row>
    <row r="1451" spans="1:5" ht="30" customHeight="1">
      <c r="A1451" s="4">
        <v>1449</v>
      </c>
      <c r="B1451" s="4" t="str">
        <f>"39712022060214591285646"</f>
        <v>39712022060214591285646</v>
      </c>
      <c r="C1451" s="4" t="s">
        <v>25</v>
      </c>
      <c r="D1451" s="4" t="str">
        <f>"李州燕"</f>
        <v>李州燕</v>
      </c>
      <c r="E1451" s="4" t="str">
        <f t="shared" si="67"/>
        <v>女</v>
      </c>
    </row>
    <row r="1452" spans="1:5" ht="30" customHeight="1">
      <c r="A1452" s="4">
        <v>1450</v>
      </c>
      <c r="B1452" s="4" t="str">
        <f>"39712022060215054385692"</f>
        <v>39712022060215054385692</v>
      </c>
      <c r="C1452" s="4" t="s">
        <v>25</v>
      </c>
      <c r="D1452" s="4" t="str">
        <f>"蒋乾泽"</f>
        <v>蒋乾泽</v>
      </c>
      <c r="E1452" s="4" t="str">
        <f>"男"</f>
        <v>男</v>
      </c>
    </row>
    <row r="1453" spans="1:5" ht="30" customHeight="1">
      <c r="A1453" s="4">
        <v>1451</v>
      </c>
      <c r="B1453" s="4" t="str">
        <f>"39712022060215112485721"</f>
        <v>39712022060215112485721</v>
      </c>
      <c r="C1453" s="4" t="s">
        <v>25</v>
      </c>
      <c r="D1453" s="4" t="str">
        <f>"吴清芳"</f>
        <v>吴清芳</v>
      </c>
      <c r="E1453" s="4" t="str">
        <f aca="true" t="shared" si="68" ref="E1453:E1468">"女"</f>
        <v>女</v>
      </c>
    </row>
    <row r="1454" spans="1:5" ht="30" customHeight="1">
      <c r="A1454" s="4">
        <v>1452</v>
      </c>
      <c r="B1454" s="4" t="str">
        <f>"39712022060215132885732"</f>
        <v>39712022060215132885732</v>
      </c>
      <c r="C1454" s="4" t="s">
        <v>25</v>
      </c>
      <c r="D1454" s="4" t="str">
        <f>"董妍"</f>
        <v>董妍</v>
      </c>
      <c r="E1454" s="4" t="str">
        <f t="shared" si="68"/>
        <v>女</v>
      </c>
    </row>
    <row r="1455" spans="1:5" ht="30" customHeight="1">
      <c r="A1455" s="4">
        <v>1453</v>
      </c>
      <c r="B1455" s="4" t="str">
        <f>"39712022060215133285733"</f>
        <v>39712022060215133285733</v>
      </c>
      <c r="C1455" s="4" t="s">
        <v>25</v>
      </c>
      <c r="D1455" s="4" t="str">
        <f>"曾亚丽"</f>
        <v>曾亚丽</v>
      </c>
      <c r="E1455" s="4" t="str">
        <f t="shared" si="68"/>
        <v>女</v>
      </c>
    </row>
    <row r="1456" spans="1:5" ht="30" customHeight="1">
      <c r="A1456" s="4">
        <v>1454</v>
      </c>
      <c r="B1456" s="4" t="str">
        <f>"39712022060215135485735"</f>
        <v>39712022060215135485735</v>
      </c>
      <c r="C1456" s="4" t="s">
        <v>25</v>
      </c>
      <c r="D1456" s="4" t="str">
        <f>"蒙博珍"</f>
        <v>蒙博珍</v>
      </c>
      <c r="E1456" s="4" t="str">
        <f t="shared" si="68"/>
        <v>女</v>
      </c>
    </row>
    <row r="1457" spans="1:5" ht="30" customHeight="1">
      <c r="A1457" s="4">
        <v>1455</v>
      </c>
      <c r="B1457" s="4" t="str">
        <f>"39712022060215180385765"</f>
        <v>39712022060215180385765</v>
      </c>
      <c r="C1457" s="4" t="s">
        <v>25</v>
      </c>
      <c r="D1457" s="4" t="str">
        <f>"郑小琪"</f>
        <v>郑小琪</v>
      </c>
      <c r="E1457" s="4" t="str">
        <f t="shared" si="68"/>
        <v>女</v>
      </c>
    </row>
    <row r="1458" spans="1:5" ht="30" customHeight="1">
      <c r="A1458" s="4">
        <v>1456</v>
      </c>
      <c r="B1458" s="4" t="str">
        <f>"39712022060215201085785"</f>
        <v>39712022060215201085785</v>
      </c>
      <c r="C1458" s="4" t="s">
        <v>25</v>
      </c>
      <c r="D1458" s="4" t="str">
        <f>"吴梦艳"</f>
        <v>吴梦艳</v>
      </c>
      <c r="E1458" s="4" t="str">
        <f t="shared" si="68"/>
        <v>女</v>
      </c>
    </row>
    <row r="1459" spans="1:5" ht="30" customHeight="1">
      <c r="A1459" s="4">
        <v>1457</v>
      </c>
      <c r="B1459" s="4" t="str">
        <f>"39712022060215223985799"</f>
        <v>39712022060215223985799</v>
      </c>
      <c r="C1459" s="4" t="s">
        <v>25</v>
      </c>
      <c r="D1459" s="4" t="str">
        <f>"杨观华"</f>
        <v>杨观华</v>
      </c>
      <c r="E1459" s="4" t="str">
        <f t="shared" si="68"/>
        <v>女</v>
      </c>
    </row>
    <row r="1460" spans="1:5" ht="30" customHeight="1">
      <c r="A1460" s="4">
        <v>1458</v>
      </c>
      <c r="B1460" s="4" t="str">
        <f>"39712022060215250785811"</f>
        <v>39712022060215250785811</v>
      </c>
      <c r="C1460" s="4" t="s">
        <v>25</v>
      </c>
      <c r="D1460" s="4" t="str">
        <f>"符蕊"</f>
        <v>符蕊</v>
      </c>
      <c r="E1460" s="4" t="str">
        <f t="shared" si="68"/>
        <v>女</v>
      </c>
    </row>
    <row r="1461" spans="1:5" ht="30" customHeight="1">
      <c r="A1461" s="4">
        <v>1459</v>
      </c>
      <c r="B1461" s="4" t="str">
        <f>"39712022060215254785813"</f>
        <v>39712022060215254785813</v>
      </c>
      <c r="C1461" s="4" t="s">
        <v>25</v>
      </c>
      <c r="D1461" s="4" t="str">
        <f>"卢咪"</f>
        <v>卢咪</v>
      </c>
      <c r="E1461" s="4" t="str">
        <f t="shared" si="68"/>
        <v>女</v>
      </c>
    </row>
    <row r="1462" spans="1:5" ht="30" customHeight="1">
      <c r="A1462" s="4">
        <v>1460</v>
      </c>
      <c r="B1462" s="4" t="str">
        <f>"39712022060215264385819"</f>
        <v>39712022060215264385819</v>
      </c>
      <c r="C1462" s="4" t="s">
        <v>25</v>
      </c>
      <c r="D1462" s="4" t="str">
        <f>"赵君"</f>
        <v>赵君</v>
      </c>
      <c r="E1462" s="4" t="str">
        <f t="shared" si="68"/>
        <v>女</v>
      </c>
    </row>
    <row r="1463" spans="1:5" ht="30" customHeight="1">
      <c r="A1463" s="4">
        <v>1461</v>
      </c>
      <c r="B1463" s="4" t="str">
        <f>"39712022060215273385822"</f>
        <v>39712022060215273385822</v>
      </c>
      <c r="C1463" s="4" t="s">
        <v>25</v>
      </c>
      <c r="D1463" s="4" t="str">
        <f>"洪冬玲"</f>
        <v>洪冬玲</v>
      </c>
      <c r="E1463" s="4" t="str">
        <f t="shared" si="68"/>
        <v>女</v>
      </c>
    </row>
    <row r="1464" spans="1:5" ht="30" customHeight="1">
      <c r="A1464" s="4">
        <v>1462</v>
      </c>
      <c r="B1464" s="4" t="str">
        <f>"39712022060215351485861"</f>
        <v>39712022060215351485861</v>
      </c>
      <c r="C1464" s="4" t="s">
        <v>25</v>
      </c>
      <c r="D1464" s="4" t="str">
        <f>"符莞莹"</f>
        <v>符莞莹</v>
      </c>
      <c r="E1464" s="4" t="str">
        <f t="shared" si="68"/>
        <v>女</v>
      </c>
    </row>
    <row r="1465" spans="1:5" ht="30" customHeight="1">
      <c r="A1465" s="4">
        <v>1463</v>
      </c>
      <c r="B1465" s="4" t="str">
        <f>"39712022060215353485865"</f>
        <v>39712022060215353485865</v>
      </c>
      <c r="C1465" s="4" t="s">
        <v>25</v>
      </c>
      <c r="D1465" s="4" t="str">
        <f>"邢丽君"</f>
        <v>邢丽君</v>
      </c>
      <c r="E1465" s="4" t="str">
        <f t="shared" si="68"/>
        <v>女</v>
      </c>
    </row>
    <row r="1466" spans="1:5" ht="30" customHeight="1">
      <c r="A1466" s="4">
        <v>1464</v>
      </c>
      <c r="B1466" s="4" t="str">
        <f>"39712022060215405785897"</f>
        <v>39712022060215405785897</v>
      </c>
      <c r="C1466" s="4" t="s">
        <v>25</v>
      </c>
      <c r="D1466" s="4" t="str">
        <f>"韩尚男"</f>
        <v>韩尚男</v>
      </c>
      <c r="E1466" s="4" t="str">
        <f t="shared" si="68"/>
        <v>女</v>
      </c>
    </row>
    <row r="1467" spans="1:5" ht="30" customHeight="1">
      <c r="A1467" s="4">
        <v>1465</v>
      </c>
      <c r="B1467" s="4" t="str">
        <f>"39712022060215422085905"</f>
        <v>39712022060215422085905</v>
      </c>
      <c r="C1467" s="4" t="s">
        <v>25</v>
      </c>
      <c r="D1467" s="4" t="str">
        <f>"王晓颖"</f>
        <v>王晓颖</v>
      </c>
      <c r="E1467" s="4" t="str">
        <f t="shared" si="68"/>
        <v>女</v>
      </c>
    </row>
    <row r="1468" spans="1:5" ht="30" customHeight="1">
      <c r="A1468" s="4">
        <v>1466</v>
      </c>
      <c r="B1468" s="4" t="str">
        <f>"39712022060215431085911"</f>
        <v>39712022060215431085911</v>
      </c>
      <c r="C1468" s="4" t="s">
        <v>25</v>
      </c>
      <c r="D1468" s="4" t="str">
        <f>"司锶"</f>
        <v>司锶</v>
      </c>
      <c r="E1468" s="4" t="str">
        <f t="shared" si="68"/>
        <v>女</v>
      </c>
    </row>
    <row r="1469" spans="1:5" ht="30" customHeight="1">
      <c r="A1469" s="4">
        <v>1467</v>
      </c>
      <c r="B1469" s="4" t="str">
        <f>"39712022060215493585945"</f>
        <v>39712022060215493585945</v>
      </c>
      <c r="C1469" s="4" t="s">
        <v>25</v>
      </c>
      <c r="D1469" s="4" t="str">
        <f>"陈崇榛"</f>
        <v>陈崇榛</v>
      </c>
      <c r="E1469" s="4" t="str">
        <f>"男"</f>
        <v>男</v>
      </c>
    </row>
    <row r="1470" spans="1:5" ht="30" customHeight="1">
      <c r="A1470" s="4">
        <v>1468</v>
      </c>
      <c r="B1470" s="4" t="str">
        <f>"39712022060215553985977"</f>
        <v>39712022060215553985977</v>
      </c>
      <c r="C1470" s="4" t="s">
        <v>25</v>
      </c>
      <c r="D1470" s="4" t="str">
        <f>"张珊珊"</f>
        <v>张珊珊</v>
      </c>
      <c r="E1470" s="4" t="str">
        <f aca="true" t="shared" si="69" ref="E1470:E1479">"女"</f>
        <v>女</v>
      </c>
    </row>
    <row r="1471" spans="1:5" ht="30" customHeight="1">
      <c r="A1471" s="4">
        <v>1469</v>
      </c>
      <c r="B1471" s="4" t="str">
        <f>"39712022060215554385978"</f>
        <v>39712022060215554385978</v>
      </c>
      <c r="C1471" s="4" t="s">
        <v>25</v>
      </c>
      <c r="D1471" s="4" t="str">
        <f>"吉艳丽"</f>
        <v>吉艳丽</v>
      </c>
      <c r="E1471" s="4" t="str">
        <f t="shared" si="69"/>
        <v>女</v>
      </c>
    </row>
    <row r="1472" spans="1:5" ht="30" customHeight="1">
      <c r="A1472" s="4">
        <v>1470</v>
      </c>
      <c r="B1472" s="4" t="str">
        <f>"39712022060215581185989"</f>
        <v>39712022060215581185989</v>
      </c>
      <c r="C1472" s="4" t="s">
        <v>25</v>
      </c>
      <c r="D1472" s="4" t="str">
        <f>"郑国芳"</f>
        <v>郑国芳</v>
      </c>
      <c r="E1472" s="4" t="str">
        <f t="shared" si="69"/>
        <v>女</v>
      </c>
    </row>
    <row r="1473" spans="1:5" ht="30" customHeight="1">
      <c r="A1473" s="4">
        <v>1471</v>
      </c>
      <c r="B1473" s="4" t="str">
        <f>"39712022060216013186006"</f>
        <v>39712022060216013186006</v>
      </c>
      <c r="C1473" s="4" t="s">
        <v>25</v>
      </c>
      <c r="D1473" s="4" t="str">
        <f>"符香川"</f>
        <v>符香川</v>
      </c>
      <c r="E1473" s="4" t="str">
        <f t="shared" si="69"/>
        <v>女</v>
      </c>
    </row>
    <row r="1474" spans="1:5" ht="30" customHeight="1">
      <c r="A1474" s="4">
        <v>1472</v>
      </c>
      <c r="B1474" s="4" t="str">
        <f>"39712022060216020986008"</f>
        <v>39712022060216020986008</v>
      </c>
      <c r="C1474" s="4" t="s">
        <v>25</v>
      </c>
      <c r="D1474" s="4" t="str">
        <f>"王宝俪"</f>
        <v>王宝俪</v>
      </c>
      <c r="E1474" s="4" t="str">
        <f t="shared" si="69"/>
        <v>女</v>
      </c>
    </row>
    <row r="1475" spans="1:5" ht="30" customHeight="1">
      <c r="A1475" s="4">
        <v>1473</v>
      </c>
      <c r="B1475" s="4" t="str">
        <f>"39712022060216041786021"</f>
        <v>39712022060216041786021</v>
      </c>
      <c r="C1475" s="4" t="s">
        <v>25</v>
      </c>
      <c r="D1475" s="4" t="str">
        <f>"李志蕊"</f>
        <v>李志蕊</v>
      </c>
      <c r="E1475" s="4" t="str">
        <f t="shared" si="69"/>
        <v>女</v>
      </c>
    </row>
    <row r="1476" spans="1:5" ht="30" customHeight="1">
      <c r="A1476" s="4">
        <v>1474</v>
      </c>
      <c r="B1476" s="4" t="str">
        <f>"39712022060216091586058"</f>
        <v>39712022060216091586058</v>
      </c>
      <c r="C1476" s="4" t="s">
        <v>25</v>
      </c>
      <c r="D1476" s="4" t="str">
        <f>"邓贤雁"</f>
        <v>邓贤雁</v>
      </c>
      <c r="E1476" s="4" t="str">
        <f t="shared" si="69"/>
        <v>女</v>
      </c>
    </row>
    <row r="1477" spans="1:5" ht="30" customHeight="1">
      <c r="A1477" s="4">
        <v>1475</v>
      </c>
      <c r="B1477" s="4" t="str">
        <f>"39712022060216094486061"</f>
        <v>39712022060216094486061</v>
      </c>
      <c r="C1477" s="4" t="s">
        <v>25</v>
      </c>
      <c r="D1477" s="4" t="str">
        <f>"王雅婷"</f>
        <v>王雅婷</v>
      </c>
      <c r="E1477" s="4" t="str">
        <f t="shared" si="69"/>
        <v>女</v>
      </c>
    </row>
    <row r="1478" spans="1:5" ht="30" customHeight="1">
      <c r="A1478" s="4">
        <v>1476</v>
      </c>
      <c r="B1478" s="4" t="str">
        <f>"39712022060216140486085"</f>
        <v>39712022060216140486085</v>
      </c>
      <c r="C1478" s="4" t="s">
        <v>25</v>
      </c>
      <c r="D1478" s="4" t="str">
        <f>"郭倩倩"</f>
        <v>郭倩倩</v>
      </c>
      <c r="E1478" s="4" t="str">
        <f t="shared" si="69"/>
        <v>女</v>
      </c>
    </row>
    <row r="1479" spans="1:5" ht="30" customHeight="1">
      <c r="A1479" s="4">
        <v>1477</v>
      </c>
      <c r="B1479" s="4" t="str">
        <f>"39712022060216160086100"</f>
        <v>39712022060216160086100</v>
      </c>
      <c r="C1479" s="4" t="s">
        <v>25</v>
      </c>
      <c r="D1479" s="4" t="str">
        <f>"王金荣"</f>
        <v>王金荣</v>
      </c>
      <c r="E1479" s="4" t="str">
        <f t="shared" si="69"/>
        <v>女</v>
      </c>
    </row>
    <row r="1480" spans="1:5" ht="30" customHeight="1">
      <c r="A1480" s="4">
        <v>1478</v>
      </c>
      <c r="B1480" s="4" t="str">
        <f>"39712022060216180386117"</f>
        <v>39712022060216180386117</v>
      </c>
      <c r="C1480" s="4" t="s">
        <v>25</v>
      </c>
      <c r="D1480" s="4" t="str">
        <f>"冯超"</f>
        <v>冯超</v>
      </c>
      <c r="E1480" s="4" t="str">
        <f>"男"</f>
        <v>男</v>
      </c>
    </row>
    <row r="1481" spans="1:5" ht="30" customHeight="1">
      <c r="A1481" s="4">
        <v>1479</v>
      </c>
      <c r="B1481" s="4" t="str">
        <f>"39712022060216215286146"</f>
        <v>39712022060216215286146</v>
      </c>
      <c r="C1481" s="4" t="s">
        <v>25</v>
      </c>
      <c r="D1481" s="4" t="str">
        <f>"潘诗婷"</f>
        <v>潘诗婷</v>
      </c>
      <c r="E1481" s="4" t="str">
        <f aca="true" t="shared" si="70" ref="E1481:E1504">"女"</f>
        <v>女</v>
      </c>
    </row>
    <row r="1482" spans="1:5" ht="30" customHeight="1">
      <c r="A1482" s="4">
        <v>1480</v>
      </c>
      <c r="B1482" s="4" t="str">
        <f>"39712022060216223286148"</f>
        <v>39712022060216223286148</v>
      </c>
      <c r="C1482" s="4" t="s">
        <v>25</v>
      </c>
      <c r="D1482" s="4" t="str">
        <f>"杜少仁"</f>
        <v>杜少仁</v>
      </c>
      <c r="E1482" s="4" t="str">
        <f t="shared" si="70"/>
        <v>女</v>
      </c>
    </row>
    <row r="1483" spans="1:5" ht="30" customHeight="1">
      <c r="A1483" s="4">
        <v>1481</v>
      </c>
      <c r="B1483" s="4" t="str">
        <f>"39712022060216232586152"</f>
        <v>39712022060216232586152</v>
      </c>
      <c r="C1483" s="4" t="s">
        <v>25</v>
      </c>
      <c r="D1483" s="4" t="str">
        <f>"黄雪润"</f>
        <v>黄雪润</v>
      </c>
      <c r="E1483" s="4" t="str">
        <f t="shared" si="70"/>
        <v>女</v>
      </c>
    </row>
    <row r="1484" spans="1:5" ht="30" customHeight="1">
      <c r="A1484" s="4">
        <v>1482</v>
      </c>
      <c r="B1484" s="4" t="str">
        <f>"39712022060216251086161"</f>
        <v>39712022060216251086161</v>
      </c>
      <c r="C1484" s="4" t="s">
        <v>25</v>
      </c>
      <c r="D1484" s="4" t="str">
        <f>"江亚茹"</f>
        <v>江亚茹</v>
      </c>
      <c r="E1484" s="4" t="str">
        <f t="shared" si="70"/>
        <v>女</v>
      </c>
    </row>
    <row r="1485" spans="1:5" ht="30" customHeight="1">
      <c r="A1485" s="4">
        <v>1483</v>
      </c>
      <c r="B1485" s="4" t="str">
        <f>"39712022060216303386183"</f>
        <v>39712022060216303386183</v>
      </c>
      <c r="C1485" s="4" t="s">
        <v>25</v>
      </c>
      <c r="D1485" s="4" t="str">
        <f>"张世清"</f>
        <v>张世清</v>
      </c>
      <c r="E1485" s="4" t="str">
        <f t="shared" si="70"/>
        <v>女</v>
      </c>
    </row>
    <row r="1486" spans="1:5" ht="30" customHeight="1">
      <c r="A1486" s="4">
        <v>1484</v>
      </c>
      <c r="B1486" s="4" t="str">
        <f>"39712022060216320886192"</f>
        <v>39712022060216320886192</v>
      </c>
      <c r="C1486" s="4" t="s">
        <v>25</v>
      </c>
      <c r="D1486" s="4" t="str">
        <f>"凌家妮"</f>
        <v>凌家妮</v>
      </c>
      <c r="E1486" s="4" t="str">
        <f t="shared" si="70"/>
        <v>女</v>
      </c>
    </row>
    <row r="1487" spans="1:5" ht="30" customHeight="1">
      <c r="A1487" s="4">
        <v>1485</v>
      </c>
      <c r="B1487" s="4" t="str">
        <f>"39712022060216324486195"</f>
        <v>39712022060216324486195</v>
      </c>
      <c r="C1487" s="4" t="s">
        <v>25</v>
      </c>
      <c r="D1487" s="4" t="str">
        <f>"卓小兰"</f>
        <v>卓小兰</v>
      </c>
      <c r="E1487" s="4" t="str">
        <f t="shared" si="70"/>
        <v>女</v>
      </c>
    </row>
    <row r="1488" spans="1:5" ht="30" customHeight="1">
      <c r="A1488" s="4">
        <v>1486</v>
      </c>
      <c r="B1488" s="4" t="str">
        <f>"39712022060216381186214"</f>
        <v>39712022060216381186214</v>
      </c>
      <c r="C1488" s="4" t="s">
        <v>25</v>
      </c>
      <c r="D1488" s="4" t="str">
        <f>"曾小晋"</f>
        <v>曾小晋</v>
      </c>
      <c r="E1488" s="4" t="str">
        <f t="shared" si="70"/>
        <v>女</v>
      </c>
    </row>
    <row r="1489" spans="1:5" ht="30" customHeight="1">
      <c r="A1489" s="4">
        <v>1487</v>
      </c>
      <c r="B1489" s="4" t="str">
        <f>"39712022060216385286216"</f>
        <v>39712022060216385286216</v>
      </c>
      <c r="C1489" s="4" t="s">
        <v>25</v>
      </c>
      <c r="D1489" s="4" t="str">
        <f>"吴丽雯"</f>
        <v>吴丽雯</v>
      </c>
      <c r="E1489" s="4" t="str">
        <f t="shared" si="70"/>
        <v>女</v>
      </c>
    </row>
    <row r="1490" spans="1:5" ht="30" customHeight="1">
      <c r="A1490" s="4">
        <v>1488</v>
      </c>
      <c r="B1490" s="4" t="str">
        <f>"39712022060216391586221"</f>
        <v>39712022060216391586221</v>
      </c>
      <c r="C1490" s="4" t="s">
        <v>25</v>
      </c>
      <c r="D1490" s="4" t="str">
        <f>"董伟净"</f>
        <v>董伟净</v>
      </c>
      <c r="E1490" s="4" t="str">
        <f t="shared" si="70"/>
        <v>女</v>
      </c>
    </row>
    <row r="1491" spans="1:5" ht="30" customHeight="1">
      <c r="A1491" s="4">
        <v>1489</v>
      </c>
      <c r="B1491" s="4" t="str">
        <f>"39712022060216414886228"</f>
        <v>39712022060216414886228</v>
      </c>
      <c r="C1491" s="4" t="s">
        <v>25</v>
      </c>
      <c r="D1491" s="4" t="str">
        <f>"苏淑芳"</f>
        <v>苏淑芳</v>
      </c>
      <c r="E1491" s="4" t="str">
        <f t="shared" si="70"/>
        <v>女</v>
      </c>
    </row>
    <row r="1492" spans="1:5" ht="30" customHeight="1">
      <c r="A1492" s="4">
        <v>1490</v>
      </c>
      <c r="B1492" s="4" t="str">
        <f>"39712022060216480086248"</f>
        <v>39712022060216480086248</v>
      </c>
      <c r="C1492" s="4" t="s">
        <v>25</v>
      </c>
      <c r="D1492" s="4" t="str">
        <f>"李玉珍"</f>
        <v>李玉珍</v>
      </c>
      <c r="E1492" s="4" t="str">
        <f t="shared" si="70"/>
        <v>女</v>
      </c>
    </row>
    <row r="1493" spans="1:5" ht="30" customHeight="1">
      <c r="A1493" s="4">
        <v>1491</v>
      </c>
      <c r="B1493" s="4" t="str">
        <f>"39712022060216480886251"</f>
        <v>39712022060216480886251</v>
      </c>
      <c r="C1493" s="4" t="s">
        <v>25</v>
      </c>
      <c r="D1493" s="4" t="str">
        <f>"高巧妙"</f>
        <v>高巧妙</v>
      </c>
      <c r="E1493" s="4" t="str">
        <f t="shared" si="70"/>
        <v>女</v>
      </c>
    </row>
    <row r="1494" spans="1:5" ht="30" customHeight="1">
      <c r="A1494" s="4">
        <v>1492</v>
      </c>
      <c r="B1494" s="4" t="str">
        <f>"39712022060216491086258"</f>
        <v>39712022060216491086258</v>
      </c>
      <c r="C1494" s="4" t="s">
        <v>25</v>
      </c>
      <c r="D1494" s="4" t="str">
        <f>"梁二苑"</f>
        <v>梁二苑</v>
      </c>
      <c r="E1494" s="4" t="str">
        <f t="shared" si="70"/>
        <v>女</v>
      </c>
    </row>
    <row r="1495" spans="1:5" ht="30" customHeight="1">
      <c r="A1495" s="4">
        <v>1493</v>
      </c>
      <c r="B1495" s="4" t="str">
        <f>"39712022060216504386268"</f>
        <v>39712022060216504386268</v>
      </c>
      <c r="C1495" s="4" t="s">
        <v>25</v>
      </c>
      <c r="D1495" s="4" t="str">
        <f>"肖丁雪"</f>
        <v>肖丁雪</v>
      </c>
      <c r="E1495" s="4" t="str">
        <f t="shared" si="70"/>
        <v>女</v>
      </c>
    </row>
    <row r="1496" spans="1:5" ht="30" customHeight="1">
      <c r="A1496" s="4">
        <v>1494</v>
      </c>
      <c r="B1496" s="4" t="str">
        <f>"39712022060216542586286"</f>
        <v>39712022060216542586286</v>
      </c>
      <c r="C1496" s="4" t="s">
        <v>25</v>
      </c>
      <c r="D1496" s="4" t="str">
        <f>"吕秋妹"</f>
        <v>吕秋妹</v>
      </c>
      <c r="E1496" s="4" t="str">
        <f t="shared" si="70"/>
        <v>女</v>
      </c>
    </row>
    <row r="1497" spans="1:5" ht="30" customHeight="1">
      <c r="A1497" s="4">
        <v>1495</v>
      </c>
      <c r="B1497" s="4" t="str">
        <f>"39712022060216574186301"</f>
        <v>39712022060216574186301</v>
      </c>
      <c r="C1497" s="4" t="s">
        <v>25</v>
      </c>
      <c r="D1497" s="4" t="str">
        <f>"梁秀美"</f>
        <v>梁秀美</v>
      </c>
      <c r="E1497" s="4" t="str">
        <f t="shared" si="70"/>
        <v>女</v>
      </c>
    </row>
    <row r="1498" spans="1:5" ht="30" customHeight="1">
      <c r="A1498" s="4">
        <v>1496</v>
      </c>
      <c r="B1498" s="4" t="str">
        <f>"39712022060217024486323"</f>
        <v>39712022060217024486323</v>
      </c>
      <c r="C1498" s="4" t="s">
        <v>25</v>
      </c>
      <c r="D1498" s="4" t="str">
        <f>"曾永秀"</f>
        <v>曾永秀</v>
      </c>
      <c r="E1498" s="4" t="str">
        <f t="shared" si="70"/>
        <v>女</v>
      </c>
    </row>
    <row r="1499" spans="1:5" ht="30" customHeight="1">
      <c r="A1499" s="4">
        <v>1497</v>
      </c>
      <c r="B1499" s="4" t="str">
        <f>"39712022060217061386338"</f>
        <v>39712022060217061386338</v>
      </c>
      <c r="C1499" s="4" t="s">
        <v>25</v>
      </c>
      <c r="D1499" s="4" t="str">
        <f>"王荣"</f>
        <v>王荣</v>
      </c>
      <c r="E1499" s="4" t="str">
        <f t="shared" si="70"/>
        <v>女</v>
      </c>
    </row>
    <row r="1500" spans="1:5" ht="30" customHeight="1">
      <c r="A1500" s="4">
        <v>1498</v>
      </c>
      <c r="B1500" s="4" t="str">
        <f>"39712022060217075986350"</f>
        <v>39712022060217075986350</v>
      </c>
      <c r="C1500" s="4" t="s">
        <v>25</v>
      </c>
      <c r="D1500" s="4" t="str">
        <f>"陈少霞"</f>
        <v>陈少霞</v>
      </c>
      <c r="E1500" s="4" t="str">
        <f t="shared" si="70"/>
        <v>女</v>
      </c>
    </row>
    <row r="1501" spans="1:5" ht="30" customHeight="1">
      <c r="A1501" s="4">
        <v>1499</v>
      </c>
      <c r="B1501" s="4" t="str">
        <f>"39712022060217091486355"</f>
        <v>39712022060217091486355</v>
      </c>
      <c r="C1501" s="4" t="s">
        <v>25</v>
      </c>
      <c r="D1501" s="4" t="str">
        <f>"梁永丽"</f>
        <v>梁永丽</v>
      </c>
      <c r="E1501" s="4" t="str">
        <f t="shared" si="70"/>
        <v>女</v>
      </c>
    </row>
    <row r="1502" spans="1:5" ht="30" customHeight="1">
      <c r="A1502" s="4">
        <v>1500</v>
      </c>
      <c r="B1502" s="4" t="str">
        <f>"39712022060217105186366"</f>
        <v>39712022060217105186366</v>
      </c>
      <c r="C1502" s="4" t="s">
        <v>25</v>
      </c>
      <c r="D1502" s="4" t="str">
        <f>"黄晓琪"</f>
        <v>黄晓琪</v>
      </c>
      <c r="E1502" s="4" t="str">
        <f t="shared" si="70"/>
        <v>女</v>
      </c>
    </row>
    <row r="1503" spans="1:5" ht="30" customHeight="1">
      <c r="A1503" s="4">
        <v>1501</v>
      </c>
      <c r="B1503" s="4" t="str">
        <f>"39712022060217110586369"</f>
        <v>39712022060217110586369</v>
      </c>
      <c r="C1503" s="4" t="s">
        <v>25</v>
      </c>
      <c r="D1503" s="4" t="str">
        <f>"王巧"</f>
        <v>王巧</v>
      </c>
      <c r="E1503" s="4" t="str">
        <f t="shared" si="70"/>
        <v>女</v>
      </c>
    </row>
    <row r="1504" spans="1:5" ht="30" customHeight="1">
      <c r="A1504" s="4">
        <v>1502</v>
      </c>
      <c r="B1504" s="4" t="str">
        <f>"39712022060217143386381"</f>
        <v>39712022060217143386381</v>
      </c>
      <c r="C1504" s="4" t="s">
        <v>25</v>
      </c>
      <c r="D1504" s="4" t="str">
        <f>"陈玎"</f>
        <v>陈玎</v>
      </c>
      <c r="E1504" s="4" t="str">
        <f t="shared" si="70"/>
        <v>女</v>
      </c>
    </row>
    <row r="1505" spans="1:5" ht="30" customHeight="1">
      <c r="A1505" s="4">
        <v>1503</v>
      </c>
      <c r="B1505" s="4" t="str">
        <f>"39712022060217211786413"</f>
        <v>39712022060217211786413</v>
      </c>
      <c r="C1505" s="4" t="s">
        <v>25</v>
      </c>
      <c r="D1505" s="4" t="str">
        <f>"陈鹏"</f>
        <v>陈鹏</v>
      </c>
      <c r="E1505" s="4" t="str">
        <f>"男"</f>
        <v>男</v>
      </c>
    </row>
    <row r="1506" spans="1:5" ht="30" customHeight="1">
      <c r="A1506" s="4">
        <v>1504</v>
      </c>
      <c r="B1506" s="4" t="str">
        <f>"39712022060217233086428"</f>
        <v>39712022060217233086428</v>
      </c>
      <c r="C1506" s="4" t="s">
        <v>25</v>
      </c>
      <c r="D1506" s="4" t="str">
        <f>"曾敬娥"</f>
        <v>曾敬娥</v>
      </c>
      <c r="E1506" s="4" t="str">
        <f>"女"</f>
        <v>女</v>
      </c>
    </row>
    <row r="1507" spans="1:5" ht="30" customHeight="1">
      <c r="A1507" s="4">
        <v>1505</v>
      </c>
      <c r="B1507" s="4" t="str">
        <f>"39712022060217302086457"</f>
        <v>39712022060217302086457</v>
      </c>
      <c r="C1507" s="4" t="s">
        <v>25</v>
      </c>
      <c r="D1507" s="4" t="str">
        <f>"冯丹丹"</f>
        <v>冯丹丹</v>
      </c>
      <c r="E1507" s="4" t="str">
        <f>"女"</f>
        <v>女</v>
      </c>
    </row>
    <row r="1508" spans="1:5" ht="30" customHeight="1">
      <c r="A1508" s="4">
        <v>1506</v>
      </c>
      <c r="B1508" s="4" t="str">
        <f>"39712022060217315286459"</f>
        <v>39712022060217315286459</v>
      </c>
      <c r="C1508" s="4" t="s">
        <v>25</v>
      </c>
      <c r="D1508" s="4" t="str">
        <f>"王小儿"</f>
        <v>王小儿</v>
      </c>
      <c r="E1508" s="4" t="str">
        <f>"女"</f>
        <v>女</v>
      </c>
    </row>
    <row r="1509" spans="1:5" ht="30" customHeight="1">
      <c r="A1509" s="4">
        <v>1507</v>
      </c>
      <c r="B1509" s="4" t="str">
        <f>"39712022060217505286534"</f>
        <v>39712022060217505286534</v>
      </c>
      <c r="C1509" s="4" t="s">
        <v>25</v>
      </c>
      <c r="D1509" s="4" t="str">
        <f>"蔡亲育"</f>
        <v>蔡亲育</v>
      </c>
      <c r="E1509" s="4" t="str">
        <f>"男"</f>
        <v>男</v>
      </c>
    </row>
    <row r="1510" spans="1:5" ht="30" customHeight="1">
      <c r="A1510" s="4">
        <v>1508</v>
      </c>
      <c r="B1510" s="4" t="str">
        <f>"39712022060217514086537"</f>
        <v>39712022060217514086537</v>
      </c>
      <c r="C1510" s="4" t="s">
        <v>25</v>
      </c>
      <c r="D1510" s="4" t="str">
        <f>"李霞"</f>
        <v>李霞</v>
      </c>
      <c r="E1510" s="4" t="str">
        <f aca="true" t="shared" si="71" ref="E1510:E1515">"女"</f>
        <v>女</v>
      </c>
    </row>
    <row r="1511" spans="1:5" ht="30" customHeight="1">
      <c r="A1511" s="4">
        <v>1509</v>
      </c>
      <c r="B1511" s="4" t="str">
        <f>"39712022060217574286565"</f>
        <v>39712022060217574286565</v>
      </c>
      <c r="C1511" s="4" t="s">
        <v>25</v>
      </c>
      <c r="D1511" s="4" t="str">
        <f>"黄彩云"</f>
        <v>黄彩云</v>
      </c>
      <c r="E1511" s="4" t="str">
        <f t="shared" si="71"/>
        <v>女</v>
      </c>
    </row>
    <row r="1512" spans="1:5" ht="30" customHeight="1">
      <c r="A1512" s="4">
        <v>1510</v>
      </c>
      <c r="B1512" s="4" t="str">
        <f>"39712022060218010286581"</f>
        <v>39712022060218010286581</v>
      </c>
      <c r="C1512" s="4" t="s">
        <v>25</v>
      </c>
      <c r="D1512" s="4" t="str">
        <f>"莫斯婷"</f>
        <v>莫斯婷</v>
      </c>
      <c r="E1512" s="4" t="str">
        <f t="shared" si="71"/>
        <v>女</v>
      </c>
    </row>
    <row r="1513" spans="1:5" ht="30" customHeight="1">
      <c r="A1513" s="4">
        <v>1511</v>
      </c>
      <c r="B1513" s="4" t="str">
        <f>"39712022060218065786605"</f>
        <v>39712022060218065786605</v>
      </c>
      <c r="C1513" s="4" t="s">
        <v>25</v>
      </c>
      <c r="D1513" s="4" t="str">
        <f>"曾惜玲"</f>
        <v>曾惜玲</v>
      </c>
      <c r="E1513" s="4" t="str">
        <f t="shared" si="71"/>
        <v>女</v>
      </c>
    </row>
    <row r="1514" spans="1:5" ht="30" customHeight="1">
      <c r="A1514" s="4">
        <v>1512</v>
      </c>
      <c r="B1514" s="4" t="str">
        <f>"39712022060218073786608"</f>
        <v>39712022060218073786608</v>
      </c>
      <c r="C1514" s="4" t="s">
        <v>25</v>
      </c>
      <c r="D1514" s="4" t="str">
        <f>"卢小月"</f>
        <v>卢小月</v>
      </c>
      <c r="E1514" s="4" t="str">
        <f t="shared" si="71"/>
        <v>女</v>
      </c>
    </row>
    <row r="1515" spans="1:5" ht="30" customHeight="1">
      <c r="A1515" s="4">
        <v>1513</v>
      </c>
      <c r="B1515" s="4" t="str">
        <f>"39712022060218123386624"</f>
        <v>39712022060218123386624</v>
      </c>
      <c r="C1515" s="4" t="s">
        <v>25</v>
      </c>
      <c r="D1515" s="4" t="str">
        <f>"邹宇春"</f>
        <v>邹宇春</v>
      </c>
      <c r="E1515" s="4" t="str">
        <f t="shared" si="71"/>
        <v>女</v>
      </c>
    </row>
    <row r="1516" spans="1:5" ht="30" customHeight="1">
      <c r="A1516" s="4">
        <v>1514</v>
      </c>
      <c r="B1516" s="4" t="str">
        <f>"39712022060218170386637"</f>
        <v>39712022060218170386637</v>
      </c>
      <c r="C1516" s="4" t="s">
        <v>25</v>
      </c>
      <c r="D1516" s="4" t="str">
        <f>"冯乃宏"</f>
        <v>冯乃宏</v>
      </c>
      <c r="E1516" s="4" t="str">
        <f>"男"</f>
        <v>男</v>
      </c>
    </row>
    <row r="1517" spans="1:5" ht="30" customHeight="1">
      <c r="A1517" s="4">
        <v>1515</v>
      </c>
      <c r="B1517" s="4" t="str">
        <f>"39712022060218224786653"</f>
        <v>39712022060218224786653</v>
      </c>
      <c r="C1517" s="4" t="s">
        <v>25</v>
      </c>
      <c r="D1517" s="4" t="str">
        <f>"符彩丽"</f>
        <v>符彩丽</v>
      </c>
      <c r="E1517" s="4" t="str">
        <f aca="true" t="shared" si="72" ref="E1517:E1535">"女"</f>
        <v>女</v>
      </c>
    </row>
    <row r="1518" spans="1:5" ht="30" customHeight="1">
      <c r="A1518" s="4">
        <v>1516</v>
      </c>
      <c r="B1518" s="4" t="str">
        <f>"39712022060218232786654"</f>
        <v>39712022060218232786654</v>
      </c>
      <c r="C1518" s="4" t="s">
        <v>25</v>
      </c>
      <c r="D1518" s="4" t="str">
        <f>"陈雪"</f>
        <v>陈雪</v>
      </c>
      <c r="E1518" s="4" t="str">
        <f t="shared" si="72"/>
        <v>女</v>
      </c>
    </row>
    <row r="1519" spans="1:5" ht="30" customHeight="1">
      <c r="A1519" s="4">
        <v>1517</v>
      </c>
      <c r="B1519" s="4" t="str">
        <f>"39712022060218232886655"</f>
        <v>39712022060218232886655</v>
      </c>
      <c r="C1519" s="4" t="s">
        <v>25</v>
      </c>
      <c r="D1519" s="4" t="str">
        <f>"王雪米"</f>
        <v>王雪米</v>
      </c>
      <c r="E1519" s="4" t="str">
        <f t="shared" si="72"/>
        <v>女</v>
      </c>
    </row>
    <row r="1520" spans="1:5" ht="30" customHeight="1">
      <c r="A1520" s="4">
        <v>1518</v>
      </c>
      <c r="B1520" s="4" t="str">
        <f>"39712022060218260686662"</f>
        <v>39712022060218260686662</v>
      </c>
      <c r="C1520" s="4" t="s">
        <v>25</v>
      </c>
      <c r="D1520" s="4" t="str">
        <f>"李如桂"</f>
        <v>李如桂</v>
      </c>
      <c r="E1520" s="4" t="str">
        <f t="shared" si="72"/>
        <v>女</v>
      </c>
    </row>
    <row r="1521" spans="1:5" ht="30" customHeight="1">
      <c r="A1521" s="4">
        <v>1519</v>
      </c>
      <c r="B1521" s="4" t="str">
        <f>"39712022060218263286663"</f>
        <v>39712022060218263286663</v>
      </c>
      <c r="C1521" s="4" t="s">
        <v>25</v>
      </c>
      <c r="D1521" s="4" t="str">
        <f>"吴柳"</f>
        <v>吴柳</v>
      </c>
      <c r="E1521" s="4" t="str">
        <f t="shared" si="72"/>
        <v>女</v>
      </c>
    </row>
    <row r="1522" spans="1:5" ht="30" customHeight="1">
      <c r="A1522" s="4">
        <v>1520</v>
      </c>
      <c r="B1522" s="4" t="str">
        <f>"39712022060218275186667"</f>
        <v>39712022060218275186667</v>
      </c>
      <c r="C1522" s="4" t="s">
        <v>25</v>
      </c>
      <c r="D1522" s="4" t="str">
        <f>"欧瑜珍"</f>
        <v>欧瑜珍</v>
      </c>
      <c r="E1522" s="4" t="str">
        <f t="shared" si="72"/>
        <v>女</v>
      </c>
    </row>
    <row r="1523" spans="1:5" ht="30" customHeight="1">
      <c r="A1523" s="4">
        <v>1521</v>
      </c>
      <c r="B1523" s="4" t="str">
        <f>"39712022060218320986677"</f>
        <v>39712022060218320986677</v>
      </c>
      <c r="C1523" s="4" t="s">
        <v>25</v>
      </c>
      <c r="D1523" s="4" t="str">
        <f>"罗婷婷"</f>
        <v>罗婷婷</v>
      </c>
      <c r="E1523" s="4" t="str">
        <f t="shared" si="72"/>
        <v>女</v>
      </c>
    </row>
    <row r="1524" spans="1:5" ht="30" customHeight="1">
      <c r="A1524" s="4">
        <v>1522</v>
      </c>
      <c r="B1524" s="4" t="str">
        <f>"39712022060218384086700"</f>
        <v>39712022060218384086700</v>
      </c>
      <c r="C1524" s="4" t="s">
        <v>25</v>
      </c>
      <c r="D1524" s="4" t="str">
        <f>"王影"</f>
        <v>王影</v>
      </c>
      <c r="E1524" s="4" t="str">
        <f t="shared" si="72"/>
        <v>女</v>
      </c>
    </row>
    <row r="1525" spans="1:5" ht="30" customHeight="1">
      <c r="A1525" s="4">
        <v>1523</v>
      </c>
      <c r="B1525" s="4" t="str">
        <f>"39712022060218442886713"</f>
        <v>39712022060218442886713</v>
      </c>
      <c r="C1525" s="4" t="s">
        <v>25</v>
      </c>
      <c r="D1525" s="4" t="str">
        <f>"刘亲"</f>
        <v>刘亲</v>
      </c>
      <c r="E1525" s="4" t="str">
        <f t="shared" si="72"/>
        <v>女</v>
      </c>
    </row>
    <row r="1526" spans="1:5" ht="30" customHeight="1">
      <c r="A1526" s="4">
        <v>1524</v>
      </c>
      <c r="B1526" s="4" t="str">
        <f>"39712022060218480586726"</f>
        <v>39712022060218480586726</v>
      </c>
      <c r="C1526" s="4" t="s">
        <v>25</v>
      </c>
      <c r="D1526" s="4" t="str">
        <f>"李鹏玉"</f>
        <v>李鹏玉</v>
      </c>
      <c r="E1526" s="4" t="str">
        <f t="shared" si="72"/>
        <v>女</v>
      </c>
    </row>
    <row r="1527" spans="1:5" ht="30" customHeight="1">
      <c r="A1527" s="4">
        <v>1525</v>
      </c>
      <c r="B1527" s="4" t="str">
        <f>"39712022060219002286767"</f>
        <v>39712022060219002286767</v>
      </c>
      <c r="C1527" s="4" t="s">
        <v>25</v>
      </c>
      <c r="D1527" s="4" t="str">
        <f>"王玉云"</f>
        <v>王玉云</v>
      </c>
      <c r="E1527" s="4" t="str">
        <f t="shared" si="72"/>
        <v>女</v>
      </c>
    </row>
    <row r="1528" spans="1:5" ht="30" customHeight="1">
      <c r="A1528" s="4">
        <v>1526</v>
      </c>
      <c r="B1528" s="4" t="str">
        <f>"39712022060219030686773"</f>
        <v>39712022060219030686773</v>
      </c>
      <c r="C1528" s="4" t="s">
        <v>25</v>
      </c>
      <c r="D1528" s="4" t="str">
        <f>"江乔木"</f>
        <v>江乔木</v>
      </c>
      <c r="E1528" s="4" t="str">
        <f t="shared" si="72"/>
        <v>女</v>
      </c>
    </row>
    <row r="1529" spans="1:5" ht="30" customHeight="1">
      <c r="A1529" s="4">
        <v>1527</v>
      </c>
      <c r="B1529" s="4" t="str">
        <f>"39712022060219043586778"</f>
        <v>39712022060219043586778</v>
      </c>
      <c r="C1529" s="4" t="s">
        <v>25</v>
      </c>
      <c r="D1529" s="4" t="str">
        <f>"曾佳仪"</f>
        <v>曾佳仪</v>
      </c>
      <c r="E1529" s="4" t="str">
        <f t="shared" si="72"/>
        <v>女</v>
      </c>
    </row>
    <row r="1530" spans="1:5" ht="30" customHeight="1">
      <c r="A1530" s="4">
        <v>1528</v>
      </c>
      <c r="B1530" s="4" t="str">
        <f>"39712022060219065886781"</f>
        <v>39712022060219065886781</v>
      </c>
      <c r="C1530" s="4" t="s">
        <v>25</v>
      </c>
      <c r="D1530" s="4" t="str">
        <f>"郭飘"</f>
        <v>郭飘</v>
      </c>
      <c r="E1530" s="4" t="str">
        <f t="shared" si="72"/>
        <v>女</v>
      </c>
    </row>
    <row r="1531" spans="1:5" ht="30" customHeight="1">
      <c r="A1531" s="4">
        <v>1529</v>
      </c>
      <c r="B1531" s="4" t="str">
        <f>"39712022060219101186793"</f>
        <v>39712022060219101186793</v>
      </c>
      <c r="C1531" s="4" t="s">
        <v>25</v>
      </c>
      <c r="D1531" s="4" t="str">
        <f>"张海韵"</f>
        <v>张海韵</v>
      </c>
      <c r="E1531" s="4" t="str">
        <f t="shared" si="72"/>
        <v>女</v>
      </c>
    </row>
    <row r="1532" spans="1:5" ht="30" customHeight="1">
      <c r="A1532" s="4">
        <v>1530</v>
      </c>
      <c r="B1532" s="4" t="str">
        <f>"39712022060219231486826"</f>
        <v>39712022060219231486826</v>
      </c>
      <c r="C1532" s="4" t="s">
        <v>25</v>
      </c>
      <c r="D1532" s="4" t="str">
        <f>"李秋妹"</f>
        <v>李秋妹</v>
      </c>
      <c r="E1532" s="4" t="str">
        <f t="shared" si="72"/>
        <v>女</v>
      </c>
    </row>
    <row r="1533" spans="1:5" ht="30" customHeight="1">
      <c r="A1533" s="4">
        <v>1531</v>
      </c>
      <c r="B1533" s="4" t="str">
        <f>"39712022060219293586841"</f>
        <v>39712022060219293586841</v>
      </c>
      <c r="C1533" s="4" t="s">
        <v>25</v>
      </c>
      <c r="D1533" s="4" t="str">
        <f>"陈小平"</f>
        <v>陈小平</v>
      </c>
      <c r="E1533" s="4" t="str">
        <f t="shared" si="72"/>
        <v>女</v>
      </c>
    </row>
    <row r="1534" spans="1:5" ht="30" customHeight="1">
      <c r="A1534" s="4">
        <v>1532</v>
      </c>
      <c r="B1534" s="4" t="str">
        <f>"39712022060219323386853"</f>
        <v>39712022060219323386853</v>
      </c>
      <c r="C1534" s="4" t="s">
        <v>25</v>
      </c>
      <c r="D1534" s="4" t="str">
        <f>"王琪"</f>
        <v>王琪</v>
      </c>
      <c r="E1534" s="4" t="str">
        <f t="shared" si="72"/>
        <v>女</v>
      </c>
    </row>
    <row r="1535" spans="1:5" ht="30" customHeight="1">
      <c r="A1535" s="4">
        <v>1533</v>
      </c>
      <c r="B1535" s="4" t="str">
        <f>"39712022060219581386925"</f>
        <v>39712022060219581386925</v>
      </c>
      <c r="C1535" s="4" t="s">
        <v>25</v>
      </c>
      <c r="D1535" s="4" t="str">
        <f>"苏丽雪"</f>
        <v>苏丽雪</v>
      </c>
      <c r="E1535" s="4" t="str">
        <f t="shared" si="72"/>
        <v>女</v>
      </c>
    </row>
    <row r="1536" spans="1:5" ht="30" customHeight="1">
      <c r="A1536" s="4">
        <v>1534</v>
      </c>
      <c r="B1536" s="4" t="str">
        <f>"39712022060220025186935"</f>
        <v>39712022060220025186935</v>
      </c>
      <c r="C1536" s="4" t="s">
        <v>25</v>
      </c>
      <c r="D1536" s="4" t="str">
        <f>"吴世雍"</f>
        <v>吴世雍</v>
      </c>
      <c r="E1536" s="4" t="str">
        <f>"男"</f>
        <v>男</v>
      </c>
    </row>
    <row r="1537" spans="1:5" ht="30" customHeight="1">
      <c r="A1537" s="4">
        <v>1535</v>
      </c>
      <c r="B1537" s="4" t="str">
        <f>"39712022060220040086937"</f>
        <v>39712022060220040086937</v>
      </c>
      <c r="C1537" s="4" t="s">
        <v>25</v>
      </c>
      <c r="D1537" s="4" t="str">
        <f>"唐必兰"</f>
        <v>唐必兰</v>
      </c>
      <c r="E1537" s="4" t="str">
        <f>"女"</f>
        <v>女</v>
      </c>
    </row>
    <row r="1538" spans="1:5" ht="30" customHeight="1">
      <c r="A1538" s="4">
        <v>1536</v>
      </c>
      <c r="B1538" s="4" t="str">
        <f>"39712022060220044186941"</f>
        <v>39712022060220044186941</v>
      </c>
      <c r="C1538" s="4" t="s">
        <v>25</v>
      </c>
      <c r="D1538" s="4" t="str">
        <f>"林清"</f>
        <v>林清</v>
      </c>
      <c r="E1538" s="4" t="str">
        <f>"男"</f>
        <v>男</v>
      </c>
    </row>
    <row r="1539" spans="1:5" ht="30" customHeight="1">
      <c r="A1539" s="4">
        <v>1537</v>
      </c>
      <c r="B1539" s="4" t="str">
        <f>"39712022060220081586951"</f>
        <v>39712022060220081586951</v>
      </c>
      <c r="C1539" s="4" t="s">
        <v>25</v>
      </c>
      <c r="D1539" s="4" t="str">
        <f>"朱艳妍"</f>
        <v>朱艳妍</v>
      </c>
      <c r="E1539" s="4" t="str">
        <f aca="true" t="shared" si="73" ref="E1539:E1550">"女"</f>
        <v>女</v>
      </c>
    </row>
    <row r="1540" spans="1:5" ht="30" customHeight="1">
      <c r="A1540" s="4">
        <v>1538</v>
      </c>
      <c r="B1540" s="4" t="str">
        <f>"39712022060220145286966"</f>
        <v>39712022060220145286966</v>
      </c>
      <c r="C1540" s="4" t="s">
        <v>25</v>
      </c>
      <c r="D1540" s="4" t="str">
        <f>"李银铃"</f>
        <v>李银铃</v>
      </c>
      <c r="E1540" s="4" t="str">
        <f t="shared" si="73"/>
        <v>女</v>
      </c>
    </row>
    <row r="1541" spans="1:5" ht="30" customHeight="1">
      <c r="A1541" s="4">
        <v>1539</v>
      </c>
      <c r="B1541" s="4" t="str">
        <f>"39712022060220170186971"</f>
        <v>39712022060220170186971</v>
      </c>
      <c r="C1541" s="4" t="s">
        <v>25</v>
      </c>
      <c r="D1541" s="4" t="str">
        <f>"陈海娜"</f>
        <v>陈海娜</v>
      </c>
      <c r="E1541" s="4" t="str">
        <f t="shared" si="73"/>
        <v>女</v>
      </c>
    </row>
    <row r="1542" spans="1:5" ht="30" customHeight="1">
      <c r="A1542" s="4">
        <v>1540</v>
      </c>
      <c r="B1542" s="4" t="str">
        <f>"39712022060220212986981"</f>
        <v>39712022060220212986981</v>
      </c>
      <c r="C1542" s="4" t="s">
        <v>25</v>
      </c>
      <c r="D1542" s="4" t="str">
        <f>"张倩莹"</f>
        <v>张倩莹</v>
      </c>
      <c r="E1542" s="4" t="str">
        <f t="shared" si="73"/>
        <v>女</v>
      </c>
    </row>
    <row r="1543" spans="1:5" ht="30" customHeight="1">
      <c r="A1543" s="4">
        <v>1541</v>
      </c>
      <c r="B1543" s="4" t="str">
        <f>"39712022060220225586985"</f>
        <v>39712022060220225586985</v>
      </c>
      <c r="C1543" s="4" t="s">
        <v>25</v>
      </c>
      <c r="D1543" s="4" t="str">
        <f>"徐淑慧"</f>
        <v>徐淑慧</v>
      </c>
      <c r="E1543" s="4" t="str">
        <f t="shared" si="73"/>
        <v>女</v>
      </c>
    </row>
    <row r="1544" spans="1:5" ht="30" customHeight="1">
      <c r="A1544" s="4">
        <v>1542</v>
      </c>
      <c r="B1544" s="4" t="str">
        <f>"39712022060220420187039"</f>
        <v>39712022060220420187039</v>
      </c>
      <c r="C1544" s="4" t="s">
        <v>25</v>
      </c>
      <c r="D1544" s="4" t="str">
        <f>"翁尉虹"</f>
        <v>翁尉虹</v>
      </c>
      <c r="E1544" s="4" t="str">
        <f t="shared" si="73"/>
        <v>女</v>
      </c>
    </row>
    <row r="1545" spans="1:5" ht="30" customHeight="1">
      <c r="A1545" s="4">
        <v>1543</v>
      </c>
      <c r="B1545" s="4" t="str">
        <f>"39712022060220440887047"</f>
        <v>39712022060220440887047</v>
      </c>
      <c r="C1545" s="4" t="s">
        <v>25</v>
      </c>
      <c r="D1545" s="4" t="str">
        <f>"兰丹利"</f>
        <v>兰丹利</v>
      </c>
      <c r="E1545" s="4" t="str">
        <f t="shared" si="73"/>
        <v>女</v>
      </c>
    </row>
    <row r="1546" spans="1:5" ht="30" customHeight="1">
      <c r="A1546" s="4">
        <v>1544</v>
      </c>
      <c r="B1546" s="4" t="str">
        <f>"39712022060220451287050"</f>
        <v>39712022060220451287050</v>
      </c>
      <c r="C1546" s="4" t="s">
        <v>25</v>
      </c>
      <c r="D1546" s="4" t="str">
        <f>"林琳"</f>
        <v>林琳</v>
      </c>
      <c r="E1546" s="4" t="str">
        <f t="shared" si="73"/>
        <v>女</v>
      </c>
    </row>
    <row r="1547" spans="1:5" ht="30" customHeight="1">
      <c r="A1547" s="4">
        <v>1545</v>
      </c>
      <c r="B1547" s="4" t="str">
        <f>"39712022060220490987066"</f>
        <v>39712022060220490987066</v>
      </c>
      <c r="C1547" s="4" t="s">
        <v>25</v>
      </c>
      <c r="D1547" s="4" t="str">
        <f>"傅钰真"</f>
        <v>傅钰真</v>
      </c>
      <c r="E1547" s="4" t="str">
        <f t="shared" si="73"/>
        <v>女</v>
      </c>
    </row>
    <row r="1548" spans="1:5" ht="30" customHeight="1">
      <c r="A1548" s="4">
        <v>1546</v>
      </c>
      <c r="B1548" s="4" t="str">
        <f>"39712022060220572787094"</f>
        <v>39712022060220572787094</v>
      </c>
      <c r="C1548" s="4" t="s">
        <v>25</v>
      </c>
      <c r="D1548" s="4" t="str">
        <f>"文娇芳"</f>
        <v>文娇芳</v>
      </c>
      <c r="E1548" s="4" t="str">
        <f t="shared" si="73"/>
        <v>女</v>
      </c>
    </row>
    <row r="1549" spans="1:5" ht="30" customHeight="1">
      <c r="A1549" s="4">
        <v>1547</v>
      </c>
      <c r="B1549" s="4" t="str">
        <f>"39712022060220592687100"</f>
        <v>39712022060220592687100</v>
      </c>
      <c r="C1549" s="4" t="s">
        <v>25</v>
      </c>
      <c r="D1549" s="4" t="str">
        <f>"吴福慧"</f>
        <v>吴福慧</v>
      </c>
      <c r="E1549" s="4" t="str">
        <f t="shared" si="73"/>
        <v>女</v>
      </c>
    </row>
    <row r="1550" spans="1:5" ht="30" customHeight="1">
      <c r="A1550" s="4">
        <v>1548</v>
      </c>
      <c r="B1550" s="4" t="str">
        <f>"39712022060220593887102"</f>
        <v>39712022060220593887102</v>
      </c>
      <c r="C1550" s="4" t="s">
        <v>25</v>
      </c>
      <c r="D1550" s="4" t="str">
        <f>"黄丹丹"</f>
        <v>黄丹丹</v>
      </c>
      <c r="E1550" s="4" t="str">
        <f t="shared" si="73"/>
        <v>女</v>
      </c>
    </row>
    <row r="1551" spans="1:5" ht="30" customHeight="1">
      <c r="A1551" s="4">
        <v>1549</v>
      </c>
      <c r="B1551" s="4" t="str">
        <f>"39712022060221064987122"</f>
        <v>39712022060221064987122</v>
      </c>
      <c r="C1551" s="4" t="s">
        <v>25</v>
      </c>
      <c r="D1551" s="4" t="str">
        <f>"王正照"</f>
        <v>王正照</v>
      </c>
      <c r="E1551" s="4" t="str">
        <f>"男"</f>
        <v>男</v>
      </c>
    </row>
    <row r="1552" spans="1:5" ht="30" customHeight="1">
      <c r="A1552" s="4">
        <v>1550</v>
      </c>
      <c r="B1552" s="4" t="str">
        <f>"39712022060221273387202"</f>
        <v>39712022060221273387202</v>
      </c>
      <c r="C1552" s="4" t="s">
        <v>25</v>
      </c>
      <c r="D1552" s="4" t="str">
        <f>"钱海琼"</f>
        <v>钱海琼</v>
      </c>
      <c r="E1552" s="4" t="str">
        <f aca="true" t="shared" si="74" ref="E1552:E1579">"女"</f>
        <v>女</v>
      </c>
    </row>
    <row r="1553" spans="1:5" ht="30" customHeight="1">
      <c r="A1553" s="4">
        <v>1551</v>
      </c>
      <c r="B1553" s="4" t="str">
        <f>"39712022060221282387207"</f>
        <v>39712022060221282387207</v>
      </c>
      <c r="C1553" s="4" t="s">
        <v>25</v>
      </c>
      <c r="D1553" s="4" t="str">
        <f>"袁金梅"</f>
        <v>袁金梅</v>
      </c>
      <c r="E1553" s="4" t="str">
        <f t="shared" si="74"/>
        <v>女</v>
      </c>
    </row>
    <row r="1554" spans="1:5" ht="30" customHeight="1">
      <c r="A1554" s="4">
        <v>1552</v>
      </c>
      <c r="B1554" s="4" t="str">
        <f>"39712022060221402287244"</f>
        <v>39712022060221402287244</v>
      </c>
      <c r="C1554" s="4" t="s">
        <v>25</v>
      </c>
      <c r="D1554" s="4" t="str">
        <f>"欧鸿源"</f>
        <v>欧鸿源</v>
      </c>
      <c r="E1554" s="4" t="str">
        <f t="shared" si="74"/>
        <v>女</v>
      </c>
    </row>
    <row r="1555" spans="1:5" ht="30" customHeight="1">
      <c r="A1555" s="4">
        <v>1553</v>
      </c>
      <c r="B1555" s="4" t="str">
        <f>"39712022060221464487258"</f>
        <v>39712022060221464487258</v>
      </c>
      <c r="C1555" s="4" t="s">
        <v>25</v>
      </c>
      <c r="D1555" s="4" t="str">
        <f>"罗俊"</f>
        <v>罗俊</v>
      </c>
      <c r="E1555" s="4" t="str">
        <f t="shared" si="74"/>
        <v>女</v>
      </c>
    </row>
    <row r="1556" spans="1:5" ht="30" customHeight="1">
      <c r="A1556" s="4">
        <v>1554</v>
      </c>
      <c r="B1556" s="4" t="str">
        <f>"39712022060222173287356"</f>
        <v>39712022060222173287356</v>
      </c>
      <c r="C1556" s="4" t="s">
        <v>25</v>
      </c>
      <c r="D1556" s="4" t="str">
        <f>"陈妹"</f>
        <v>陈妹</v>
      </c>
      <c r="E1556" s="4" t="str">
        <f t="shared" si="74"/>
        <v>女</v>
      </c>
    </row>
    <row r="1557" spans="1:5" ht="30" customHeight="1">
      <c r="A1557" s="4">
        <v>1555</v>
      </c>
      <c r="B1557" s="4" t="str">
        <f>"39712022060222200287365"</f>
        <v>39712022060222200287365</v>
      </c>
      <c r="C1557" s="4" t="s">
        <v>25</v>
      </c>
      <c r="D1557" s="4" t="str">
        <f>"杜秀翠"</f>
        <v>杜秀翠</v>
      </c>
      <c r="E1557" s="4" t="str">
        <f t="shared" si="74"/>
        <v>女</v>
      </c>
    </row>
    <row r="1558" spans="1:5" ht="30" customHeight="1">
      <c r="A1558" s="4">
        <v>1556</v>
      </c>
      <c r="B1558" s="4" t="str">
        <f>"39712022060222231287376"</f>
        <v>39712022060222231287376</v>
      </c>
      <c r="C1558" s="4" t="s">
        <v>25</v>
      </c>
      <c r="D1558" s="4" t="str">
        <f>"李爱明"</f>
        <v>李爱明</v>
      </c>
      <c r="E1558" s="4" t="str">
        <f t="shared" si="74"/>
        <v>女</v>
      </c>
    </row>
    <row r="1559" spans="1:5" ht="30" customHeight="1">
      <c r="A1559" s="4">
        <v>1557</v>
      </c>
      <c r="B1559" s="4" t="str">
        <f>"39712022060222273587391"</f>
        <v>39712022060222273587391</v>
      </c>
      <c r="C1559" s="4" t="s">
        <v>25</v>
      </c>
      <c r="D1559" s="4" t="str">
        <f>"符艳丽"</f>
        <v>符艳丽</v>
      </c>
      <c r="E1559" s="4" t="str">
        <f t="shared" si="74"/>
        <v>女</v>
      </c>
    </row>
    <row r="1560" spans="1:5" ht="30" customHeight="1">
      <c r="A1560" s="4">
        <v>1558</v>
      </c>
      <c r="B1560" s="4" t="str">
        <f>"39712022060222302987404"</f>
        <v>39712022060222302987404</v>
      </c>
      <c r="C1560" s="4" t="s">
        <v>25</v>
      </c>
      <c r="D1560" s="4" t="str">
        <f>"黎倩曼"</f>
        <v>黎倩曼</v>
      </c>
      <c r="E1560" s="4" t="str">
        <f t="shared" si="74"/>
        <v>女</v>
      </c>
    </row>
    <row r="1561" spans="1:5" ht="30" customHeight="1">
      <c r="A1561" s="4">
        <v>1559</v>
      </c>
      <c r="B1561" s="4" t="str">
        <f>"39712022060222371187425"</f>
        <v>39712022060222371187425</v>
      </c>
      <c r="C1561" s="4" t="s">
        <v>25</v>
      </c>
      <c r="D1561" s="4" t="str">
        <f>"郑小丽"</f>
        <v>郑小丽</v>
      </c>
      <c r="E1561" s="4" t="str">
        <f t="shared" si="74"/>
        <v>女</v>
      </c>
    </row>
    <row r="1562" spans="1:5" ht="30" customHeight="1">
      <c r="A1562" s="4">
        <v>1560</v>
      </c>
      <c r="B1562" s="4" t="str">
        <f>"39712022060222381487430"</f>
        <v>39712022060222381487430</v>
      </c>
      <c r="C1562" s="4" t="s">
        <v>25</v>
      </c>
      <c r="D1562" s="4" t="str">
        <f>"郭孟娟"</f>
        <v>郭孟娟</v>
      </c>
      <c r="E1562" s="4" t="str">
        <f t="shared" si="74"/>
        <v>女</v>
      </c>
    </row>
    <row r="1563" spans="1:5" ht="30" customHeight="1">
      <c r="A1563" s="4">
        <v>1561</v>
      </c>
      <c r="B1563" s="4" t="str">
        <f>"39712022060222393887437"</f>
        <v>39712022060222393887437</v>
      </c>
      <c r="C1563" s="4" t="s">
        <v>25</v>
      </c>
      <c r="D1563" s="4" t="str">
        <f>"孔风曼"</f>
        <v>孔风曼</v>
      </c>
      <c r="E1563" s="4" t="str">
        <f t="shared" si="74"/>
        <v>女</v>
      </c>
    </row>
    <row r="1564" spans="1:5" ht="30" customHeight="1">
      <c r="A1564" s="4">
        <v>1562</v>
      </c>
      <c r="B1564" s="4" t="str">
        <f>"39712022060222413587445"</f>
        <v>39712022060222413587445</v>
      </c>
      <c r="C1564" s="4" t="s">
        <v>25</v>
      </c>
      <c r="D1564" s="4" t="str">
        <f>"张曼芬"</f>
        <v>张曼芬</v>
      </c>
      <c r="E1564" s="4" t="str">
        <f t="shared" si="74"/>
        <v>女</v>
      </c>
    </row>
    <row r="1565" spans="1:5" ht="30" customHeight="1">
      <c r="A1565" s="4">
        <v>1563</v>
      </c>
      <c r="B1565" s="4" t="str">
        <f>"39712022060222425987452"</f>
        <v>39712022060222425987452</v>
      </c>
      <c r="C1565" s="4" t="s">
        <v>25</v>
      </c>
      <c r="D1565" s="4" t="str">
        <f>"王小玲"</f>
        <v>王小玲</v>
      </c>
      <c r="E1565" s="4" t="str">
        <f t="shared" si="74"/>
        <v>女</v>
      </c>
    </row>
    <row r="1566" spans="1:5" ht="30" customHeight="1">
      <c r="A1566" s="4">
        <v>1564</v>
      </c>
      <c r="B1566" s="4" t="str">
        <f>"39712022060222494087475"</f>
        <v>39712022060222494087475</v>
      </c>
      <c r="C1566" s="4" t="s">
        <v>25</v>
      </c>
      <c r="D1566" s="4" t="str">
        <f>"陈燕燕"</f>
        <v>陈燕燕</v>
      </c>
      <c r="E1566" s="4" t="str">
        <f t="shared" si="74"/>
        <v>女</v>
      </c>
    </row>
    <row r="1567" spans="1:5" ht="30" customHeight="1">
      <c r="A1567" s="4">
        <v>1565</v>
      </c>
      <c r="B1567" s="4" t="str">
        <f>"39712022060223004487504"</f>
        <v>39712022060223004487504</v>
      </c>
      <c r="C1567" s="4" t="s">
        <v>25</v>
      </c>
      <c r="D1567" s="4" t="str">
        <f>"罗小星"</f>
        <v>罗小星</v>
      </c>
      <c r="E1567" s="4" t="str">
        <f t="shared" si="74"/>
        <v>女</v>
      </c>
    </row>
    <row r="1568" spans="1:5" ht="30" customHeight="1">
      <c r="A1568" s="4">
        <v>1566</v>
      </c>
      <c r="B1568" s="4" t="str">
        <f>"39712022060223021787506"</f>
        <v>39712022060223021787506</v>
      </c>
      <c r="C1568" s="4" t="s">
        <v>25</v>
      </c>
      <c r="D1568" s="4" t="str">
        <f>"刘小清"</f>
        <v>刘小清</v>
      </c>
      <c r="E1568" s="4" t="str">
        <f t="shared" si="74"/>
        <v>女</v>
      </c>
    </row>
    <row r="1569" spans="1:5" ht="30" customHeight="1">
      <c r="A1569" s="4">
        <v>1567</v>
      </c>
      <c r="B1569" s="4" t="str">
        <f>"39712022060223025687507"</f>
        <v>39712022060223025687507</v>
      </c>
      <c r="C1569" s="4" t="s">
        <v>25</v>
      </c>
      <c r="D1569" s="4" t="str">
        <f>"陈薇薇"</f>
        <v>陈薇薇</v>
      </c>
      <c r="E1569" s="4" t="str">
        <f t="shared" si="74"/>
        <v>女</v>
      </c>
    </row>
    <row r="1570" spans="1:5" ht="30" customHeight="1">
      <c r="A1570" s="4">
        <v>1568</v>
      </c>
      <c r="B1570" s="4" t="str">
        <f>"39712022060223041787512"</f>
        <v>39712022060223041787512</v>
      </c>
      <c r="C1570" s="4" t="s">
        <v>25</v>
      </c>
      <c r="D1570" s="4" t="str">
        <f>"陈金春"</f>
        <v>陈金春</v>
      </c>
      <c r="E1570" s="4" t="str">
        <f t="shared" si="74"/>
        <v>女</v>
      </c>
    </row>
    <row r="1571" spans="1:5" ht="30" customHeight="1">
      <c r="A1571" s="4">
        <v>1569</v>
      </c>
      <c r="B1571" s="4" t="str">
        <f>"39712022060223070787514"</f>
        <v>39712022060223070787514</v>
      </c>
      <c r="C1571" s="4" t="s">
        <v>25</v>
      </c>
      <c r="D1571" s="4" t="str">
        <f>"王靖榕"</f>
        <v>王靖榕</v>
      </c>
      <c r="E1571" s="4" t="str">
        <f t="shared" si="74"/>
        <v>女</v>
      </c>
    </row>
    <row r="1572" spans="1:5" ht="30" customHeight="1">
      <c r="A1572" s="4">
        <v>1570</v>
      </c>
      <c r="B1572" s="4" t="str">
        <f>"39712022060223200987525"</f>
        <v>39712022060223200987525</v>
      </c>
      <c r="C1572" s="4" t="s">
        <v>25</v>
      </c>
      <c r="D1572" s="4" t="str">
        <f>"吴源洁"</f>
        <v>吴源洁</v>
      </c>
      <c r="E1572" s="4" t="str">
        <f t="shared" si="74"/>
        <v>女</v>
      </c>
    </row>
    <row r="1573" spans="1:5" ht="30" customHeight="1">
      <c r="A1573" s="4">
        <v>1571</v>
      </c>
      <c r="B1573" s="4" t="str">
        <f>"39712022060223270487531"</f>
        <v>39712022060223270487531</v>
      </c>
      <c r="C1573" s="4" t="s">
        <v>25</v>
      </c>
      <c r="D1573" s="4" t="str">
        <f>"云惠敏"</f>
        <v>云惠敏</v>
      </c>
      <c r="E1573" s="4" t="str">
        <f t="shared" si="74"/>
        <v>女</v>
      </c>
    </row>
    <row r="1574" spans="1:5" ht="30" customHeight="1">
      <c r="A1574" s="4">
        <v>1572</v>
      </c>
      <c r="B1574" s="4" t="str">
        <f>"39712022060223313487537"</f>
        <v>39712022060223313487537</v>
      </c>
      <c r="C1574" s="4" t="s">
        <v>25</v>
      </c>
      <c r="D1574" s="4" t="str">
        <f>"文彩艳"</f>
        <v>文彩艳</v>
      </c>
      <c r="E1574" s="4" t="str">
        <f t="shared" si="74"/>
        <v>女</v>
      </c>
    </row>
    <row r="1575" spans="1:5" ht="30" customHeight="1">
      <c r="A1575" s="4">
        <v>1573</v>
      </c>
      <c r="B1575" s="4" t="str">
        <f>"39712022060223374987544"</f>
        <v>39712022060223374987544</v>
      </c>
      <c r="C1575" s="4" t="s">
        <v>25</v>
      </c>
      <c r="D1575" s="4" t="str">
        <f>"莫兰玉"</f>
        <v>莫兰玉</v>
      </c>
      <c r="E1575" s="4" t="str">
        <f t="shared" si="74"/>
        <v>女</v>
      </c>
    </row>
    <row r="1576" spans="1:5" ht="30" customHeight="1">
      <c r="A1576" s="4">
        <v>1574</v>
      </c>
      <c r="B1576" s="4" t="str">
        <f>"39712022060223384387545"</f>
        <v>39712022060223384387545</v>
      </c>
      <c r="C1576" s="4" t="s">
        <v>25</v>
      </c>
      <c r="D1576" s="4" t="str">
        <f>"许译丹"</f>
        <v>许译丹</v>
      </c>
      <c r="E1576" s="4" t="str">
        <f t="shared" si="74"/>
        <v>女</v>
      </c>
    </row>
    <row r="1577" spans="1:5" ht="30" customHeight="1">
      <c r="A1577" s="4">
        <v>1575</v>
      </c>
      <c r="B1577" s="4" t="str">
        <f>"39712022060223404487548"</f>
        <v>39712022060223404487548</v>
      </c>
      <c r="C1577" s="4" t="s">
        <v>25</v>
      </c>
      <c r="D1577" s="4" t="str">
        <f>"邓慧"</f>
        <v>邓慧</v>
      </c>
      <c r="E1577" s="4" t="str">
        <f t="shared" si="74"/>
        <v>女</v>
      </c>
    </row>
    <row r="1578" spans="1:5" ht="30" customHeight="1">
      <c r="A1578" s="4">
        <v>1576</v>
      </c>
      <c r="B1578" s="4" t="str">
        <f>"39712022060223444387553"</f>
        <v>39712022060223444387553</v>
      </c>
      <c r="C1578" s="4" t="s">
        <v>25</v>
      </c>
      <c r="D1578" s="4" t="str">
        <f>"王天敏"</f>
        <v>王天敏</v>
      </c>
      <c r="E1578" s="4" t="str">
        <f t="shared" si="74"/>
        <v>女</v>
      </c>
    </row>
    <row r="1579" spans="1:5" ht="30" customHeight="1">
      <c r="A1579" s="4">
        <v>1577</v>
      </c>
      <c r="B1579" s="4" t="str">
        <f>"39712022060223451187556"</f>
        <v>39712022060223451187556</v>
      </c>
      <c r="C1579" s="4" t="s">
        <v>25</v>
      </c>
      <c r="D1579" s="4" t="str">
        <f>"周夏妃"</f>
        <v>周夏妃</v>
      </c>
      <c r="E1579" s="4" t="str">
        <f t="shared" si="74"/>
        <v>女</v>
      </c>
    </row>
    <row r="1580" spans="1:5" ht="30" customHeight="1">
      <c r="A1580" s="4">
        <v>1578</v>
      </c>
      <c r="B1580" s="4" t="str">
        <f>"39712022060300000887565"</f>
        <v>39712022060300000887565</v>
      </c>
      <c r="C1580" s="4" t="s">
        <v>25</v>
      </c>
      <c r="D1580" s="4" t="str">
        <f>"符朝兴"</f>
        <v>符朝兴</v>
      </c>
      <c r="E1580" s="4" t="str">
        <f>"男"</f>
        <v>男</v>
      </c>
    </row>
    <row r="1581" spans="1:5" ht="30" customHeight="1">
      <c r="A1581" s="4">
        <v>1579</v>
      </c>
      <c r="B1581" s="4" t="str">
        <f>"39712022060300052687567"</f>
        <v>39712022060300052687567</v>
      </c>
      <c r="C1581" s="4" t="s">
        <v>25</v>
      </c>
      <c r="D1581" s="4" t="str">
        <f>"吴艳萍"</f>
        <v>吴艳萍</v>
      </c>
      <c r="E1581" s="4" t="str">
        <f>"女"</f>
        <v>女</v>
      </c>
    </row>
    <row r="1582" spans="1:5" ht="30" customHeight="1">
      <c r="A1582" s="4">
        <v>1580</v>
      </c>
      <c r="B1582" s="4" t="str">
        <f>"39712022060300154087572"</f>
        <v>39712022060300154087572</v>
      </c>
      <c r="C1582" s="4" t="s">
        <v>25</v>
      </c>
      <c r="D1582" s="4" t="str">
        <f>"吴阿明"</f>
        <v>吴阿明</v>
      </c>
      <c r="E1582" s="4" t="str">
        <f>"女"</f>
        <v>女</v>
      </c>
    </row>
    <row r="1583" spans="1:5" ht="30" customHeight="1">
      <c r="A1583" s="4">
        <v>1581</v>
      </c>
      <c r="B1583" s="4" t="str">
        <f>"39712022060300394887592"</f>
        <v>39712022060300394887592</v>
      </c>
      <c r="C1583" s="4" t="s">
        <v>25</v>
      </c>
      <c r="D1583" s="4" t="str">
        <f>"翁诗瑜"</f>
        <v>翁诗瑜</v>
      </c>
      <c r="E1583" s="4" t="str">
        <f>"女"</f>
        <v>女</v>
      </c>
    </row>
    <row r="1584" spans="1:5" ht="30" customHeight="1">
      <c r="A1584" s="4">
        <v>1582</v>
      </c>
      <c r="B1584" s="4" t="str">
        <f>"39712022060300442687593"</f>
        <v>39712022060300442687593</v>
      </c>
      <c r="C1584" s="4" t="s">
        <v>25</v>
      </c>
      <c r="D1584" s="4" t="str">
        <f>"邓晓倩"</f>
        <v>邓晓倩</v>
      </c>
      <c r="E1584" s="4" t="str">
        <f>"女"</f>
        <v>女</v>
      </c>
    </row>
    <row r="1585" spans="1:5" ht="30" customHeight="1">
      <c r="A1585" s="4">
        <v>1583</v>
      </c>
      <c r="B1585" s="4" t="str">
        <f>"39712022060301382187607"</f>
        <v>39712022060301382187607</v>
      </c>
      <c r="C1585" s="4" t="s">
        <v>25</v>
      </c>
      <c r="D1585" s="4" t="str">
        <f>"李平旺"</f>
        <v>李平旺</v>
      </c>
      <c r="E1585" s="4" t="str">
        <f>"男"</f>
        <v>男</v>
      </c>
    </row>
    <row r="1586" spans="1:5" ht="30" customHeight="1">
      <c r="A1586" s="4">
        <v>1584</v>
      </c>
      <c r="B1586" s="4" t="str">
        <f>"39712022060307221687619"</f>
        <v>39712022060307221687619</v>
      </c>
      <c r="C1586" s="4" t="s">
        <v>25</v>
      </c>
      <c r="D1586" s="4" t="str">
        <f>"翁亚珠"</f>
        <v>翁亚珠</v>
      </c>
      <c r="E1586" s="4" t="str">
        <f aca="true" t="shared" si="75" ref="E1586:E1594">"女"</f>
        <v>女</v>
      </c>
    </row>
    <row r="1587" spans="1:5" ht="30" customHeight="1">
      <c r="A1587" s="4">
        <v>1585</v>
      </c>
      <c r="B1587" s="4" t="str">
        <f>"39712022060308483687658"</f>
        <v>39712022060308483687658</v>
      </c>
      <c r="C1587" s="4" t="s">
        <v>25</v>
      </c>
      <c r="D1587" s="4" t="str">
        <f>"李芳玲"</f>
        <v>李芳玲</v>
      </c>
      <c r="E1587" s="4" t="str">
        <f t="shared" si="75"/>
        <v>女</v>
      </c>
    </row>
    <row r="1588" spans="1:5" ht="30" customHeight="1">
      <c r="A1588" s="4">
        <v>1586</v>
      </c>
      <c r="B1588" s="4" t="str">
        <f>"39712022060309162887691"</f>
        <v>39712022060309162887691</v>
      </c>
      <c r="C1588" s="4" t="s">
        <v>25</v>
      </c>
      <c r="D1588" s="4" t="str">
        <f>"陈秋盈"</f>
        <v>陈秋盈</v>
      </c>
      <c r="E1588" s="4" t="str">
        <f t="shared" si="75"/>
        <v>女</v>
      </c>
    </row>
    <row r="1589" spans="1:5" ht="30" customHeight="1">
      <c r="A1589" s="4">
        <v>1587</v>
      </c>
      <c r="B1589" s="4" t="str">
        <f>"39712022060309290887702"</f>
        <v>39712022060309290887702</v>
      </c>
      <c r="C1589" s="4" t="s">
        <v>25</v>
      </c>
      <c r="D1589" s="4" t="str">
        <f>"李玉君"</f>
        <v>李玉君</v>
      </c>
      <c r="E1589" s="4" t="str">
        <f t="shared" si="75"/>
        <v>女</v>
      </c>
    </row>
    <row r="1590" spans="1:5" ht="30" customHeight="1">
      <c r="A1590" s="4">
        <v>1588</v>
      </c>
      <c r="B1590" s="4" t="str">
        <f>"39712022060309594687736"</f>
        <v>39712022060309594687736</v>
      </c>
      <c r="C1590" s="4" t="s">
        <v>25</v>
      </c>
      <c r="D1590" s="4" t="str">
        <f>"刘燕女"</f>
        <v>刘燕女</v>
      </c>
      <c r="E1590" s="4" t="str">
        <f t="shared" si="75"/>
        <v>女</v>
      </c>
    </row>
    <row r="1591" spans="1:5" ht="30" customHeight="1">
      <c r="A1591" s="4">
        <v>1589</v>
      </c>
      <c r="B1591" s="4" t="str">
        <f>"39712022060310060787743"</f>
        <v>39712022060310060787743</v>
      </c>
      <c r="C1591" s="4" t="s">
        <v>25</v>
      </c>
      <c r="D1591" s="4" t="str">
        <f>"谭啟灵"</f>
        <v>谭啟灵</v>
      </c>
      <c r="E1591" s="4" t="str">
        <f t="shared" si="75"/>
        <v>女</v>
      </c>
    </row>
    <row r="1592" spans="1:5" ht="30" customHeight="1">
      <c r="A1592" s="4">
        <v>1590</v>
      </c>
      <c r="B1592" s="4" t="str">
        <f>"39712022060310181487763"</f>
        <v>39712022060310181487763</v>
      </c>
      <c r="C1592" s="4" t="s">
        <v>25</v>
      </c>
      <c r="D1592" s="4" t="str">
        <f>"叶晓倩"</f>
        <v>叶晓倩</v>
      </c>
      <c r="E1592" s="4" t="str">
        <f t="shared" si="75"/>
        <v>女</v>
      </c>
    </row>
    <row r="1593" spans="1:5" ht="30" customHeight="1">
      <c r="A1593" s="4">
        <v>1591</v>
      </c>
      <c r="B1593" s="4" t="str">
        <f>"39712022060310295687777"</f>
        <v>39712022060310295687777</v>
      </c>
      <c r="C1593" s="4" t="s">
        <v>25</v>
      </c>
      <c r="D1593" s="4" t="str">
        <f>"王巧梅"</f>
        <v>王巧梅</v>
      </c>
      <c r="E1593" s="4" t="str">
        <f t="shared" si="75"/>
        <v>女</v>
      </c>
    </row>
    <row r="1594" spans="1:5" ht="30" customHeight="1">
      <c r="A1594" s="4">
        <v>1592</v>
      </c>
      <c r="B1594" s="4" t="str">
        <f>"39712022060310325187781"</f>
        <v>39712022060310325187781</v>
      </c>
      <c r="C1594" s="4" t="s">
        <v>25</v>
      </c>
      <c r="D1594" s="4" t="str">
        <f>"周柳妍"</f>
        <v>周柳妍</v>
      </c>
      <c r="E1594" s="4" t="str">
        <f t="shared" si="75"/>
        <v>女</v>
      </c>
    </row>
    <row r="1595" spans="1:5" ht="30" customHeight="1">
      <c r="A1595" s="4">
        <v>1593</v>
      </c>
      <c r="B1595" s="4" t="str">
        <f>"39712022060310440087793"</f>
        <v>39712022060310440087793</v>
      </c>
      <c r="C1595" s="4" t="s">
        <v>25</v>
      </c>
      <c r="D1595" s="4" t="str">
        <f>"毛作勤"</f>
        <v>毛作勤</v>
      </c>
      <c r="E1595" s="4" t="str">
        <f>"男"</f>
        <v>男</v>
      </c>
    </row>
    <row r="1596" spans="1:5" ht="30" customHeight="1">
      <c r="A1596" s="4">
        <v>1594</v>
      </c>
      <c r="B1596" s="4" t="str">
        <f>"39712022060310493687799"</f>
        <v>39712022060310493687799</v>
      </c>
      <c r="C1596" s="4" t="s">
        <v>25</v>
      </c>
      <c r="D1596" s="4" t="str">
        <f>"林芳芳"</f>
        <v>林芳芳</v>
      </c>
      <c r="E1596" s="4" t="str">
        <f>"女"</f>
        <v>女</v>
      </c>
    </row>
    <row r="1597" spans="1:5" ht="30" customHeight="1">
      <c r="A1597" s="4">
        <v>1595</v>
      </c>
      <c r="B1597" s="4" t="str">
        <f>"39712022060310495987800"</f>
        <v>39712022060310495987800</v>
      </c>
      <c r="C1597" s="4" t="s">
        <v>25</v>
      </c>
      <c r="D1597" s="4" t="str">
        <f>"林晓晓"</f>
        <v>林晓晓</v>
      </c>
      <c r="E1597" s="4" t="str">
        <f>"女"</f>
        <v>女</v>
      </c>
    </row>
    <row r="1598" spans="1:5" ht="30" customHeight="1">
      <c r="A1598" s="4">
        <v>1596</v>
      </c>
      <c r="B1598" s="4" t="str">
        <f>"39712022060310503587801"</f>
        <v>39712022060310503587801</v>
      </c>
      <c r="C1598" s="4" t="s">
        <v>25</v>
      </c>
      <c r="D1598" s="4" t="str">
        <f>"王草胜"</f>
        <v>王草胜</v>
      </c>
      <c r="E1598" s="4" t="str">
        <f>"男"</f>
        <v>男</v>
      </c>
    </row>
    <row r="1599" spans="1:5" ht="30" customHeight="1">
      <c r="A1599" s="4">
        <v>1597</v>
      </c>
      <c r="B1599" s="4" t="str">
        <f>"39712022060310575187809"</f>
        <v>39712022060310575187809</v>
      </c>
      <c r="C1599" s="4" t="s">
        <v>25</v>
      </c>
      <c r="D1599" s="4" t="str">
        <f>"黎秋燕"</f>
        <v>黎秋燕</v>
      </c>
      <c r="E1599" s="4" t="str">
        <f>"女"</f>
        <v>女</v>
      </c>
    </row>
    <row r="1600" spans="1:5" ht="30" customHeight="1">
      <c r="A1600" s="4">
        <v>1598</v>
      </c>
      <c r="B1600" s="4" t="str">
        <f>"39712022060311054087820"</f>
        <v>39712022060311054087820</v>
      </c>
      <c r="C1600" s="4" t="s">
        <v>25</v>
      </c>
      <c r="D1600" s="4" t="str">
        <f>"王小丹"</f>
        <v>王小丹</v>
      </c>
      <c r="E1600" s="4" t="str">
        <f>"女"</f>
        <v>女</v>
      </c>
    </row>
    <row r="1601" spans="1:5" ht="30" customHeight="1">
      <c r="A1601" s="4">
        <v>1599</v>
      </c>
      <c r="B1601" s="4" t="str">
        <f>"39712022060311085387823"</f>
        <v>39712022060311085387823</v>
      </c>
      <c r="C1601" s="4" t="s">
        <v>25</v>
      </c>
      <c r="D1601" s="4" t="str">
        <f>"陈海瑞"</f>
        <v>陈海瑞</v>
      </c>
      <c r="E1601" s="4" t="str">
        <f>"男"</f>
        <v>男</v>
      </c>
    </row>
    <row r="1602" spans="1:5" ht="30" customHeight="1">
      <c r="A1602" s="4">
        <v>1600</v>
      </c>
      <c r="B1602" s="4" t="str">
        <f>"39712022060311125687827"</f>
        <v>39712022060311125687827</v>
      </c>
      <c r="C1602" s="4" t="s">
        <v>25</v>
      </c>
      <c r="D1602" s="4" t="str">
        <f>"李三梅"</f>
        <v>李三梅</v>
      </c>
      <c r="E1602" s="4" t="str">
        <f aca="true" t="shared" si="76" ref="E1602:E1608">"女"</f>
        <v>女</v>
      </c>
    </row>
    <row r="1603" spans="1:5" ht="30" customHeight="1">
      <c r="A1603" s="4">
        <v>1601</v>
      </c>
      <c r="B1603" s="4" t="str">
        <f>"39712022060311151787830"</f>
        <v>39712022060311151787830</v>
      </c>
      <c r="C1603" s="4" t="s">
        <v>25</v>
      </c>
      <c r="D1603" s="4" t="str">
        <f>"吴丽敏"</f>
        <v>吴丽敏</v>
      </c>
      <c r="E1603" s="4" t="str">
        <f t="shared" si="76"/>
        <v>女</v>
      </c>
    </row>
    <row r="1604" spans="1:5" ht="30" customHeight="1">
      <c r="A1604" s="4">
        <v>1602</v>
      </c>
      <c r="B1604" s="4" t="str">
        <f>"39712022060311571687878"</f>
        <v>39712022060311571687878</v>
      </c>
      <c r="C1604" s="4" t="s">
        <v>25</v>
      </c>
      <c r="D1604" s="4" t="str">
        <f>"陈送玲"</f>
        <v>陈送玲</v>
      </c>
      <c r="E1604" s="4" t="str">
        <f t="shared" si="76"/>
        <v>女</v>
      </c>
    </row>
    <row r="1605" spans="1:5" ht="30" customHeight="1">
      <c r="A1605" s="4">
        <v>1603</v>
      </c>
      <c r="B1605" s="4" t="str">
        <f>"39712022060312014987886"</f>
        <v>39712022060312014987886</v>
      </c>
      <c r="C1605" s="4" t="s">
        <v>25</v>
      </c>
      <c r="D1605" s="4" t="str">
        <f>"文成迈"</f>
        <v>文成迈</v>
      </c>
      <c r="E1605" s="4" t="str">
        <f t="shared" si="76"/>
        <v>女</v>
      </c>
    </row>
    <row r="1606" spans="1:5" ht="30" customHeight="1">
      <c r="A1606" s="4">
        <v>1604</v>
      </c>
      <c r="B1606" s="4" t="str">
        <f>"39712022060312075087895"</f>
        <v>39712022060312075087895</v>
      </c>
      <c r="C1606" s="4" t="s">
        <v>25</v>
      </c>
      <c r="D1606" s="4" t="str">
        <f>"单滟芳"</f>
        <v>单滟芳</v>
      </c>
      <c r="E1606" s="4" t="str">
        <f t="shared" si="76"/>
        <v>女</v>
      </c>
    </row>
    <row r="1607" spans="1:5" ht="30" customHeight="1">
      <c r="A1607" s="4">
        <v>1605</v>
      </c>
      <c r="B1607" s="4" t="str">
        <f>"39712022060312383887926"</f>
        <v>39712022060312383887926</v>
      </c>
      <c r="C1607" s="4" t="s">
        <v>25</v>
      </c>
      <c r="D1607" s="4" t="str">
        <f>"郑月敏"</f>
        <v>郑月敏</v>
      </c>
      <c r="E1607" s="4" t="str">
        <f t="shared" si="76"/>
        <v>女</v>
      </c>
    </row>
    <row r="1608" spans="1:5" ht="30" customHeight="1">
      <c r="A1608" s="4">
        <v>1606</v>
      </c>
      <c r="B1608" s="4" t="str">
        <f>"39712022060312422587928"</f>
        <v>39712022060312422587928</v>
      </c>
      <c r="C1608" s="4" t="s">
        <v>25</v>
      </c>
      <c r="D1608" s="4" t="str">
        <f>"李桂娃"</f>
        <v>李桂娃</v>
      </c>
      <c r="E1608" s="4" t="str">
        <f t="shared" si="76"/>
        <v>女</v>
      </c>
    </row>
    <row r="1609" spans="1:5" ht="30" customHeight="1">
      <c r="A1609" s="4">
        <v>1607</v>
      </c>
      <c r="B1609" s="4" t="str">
        <f>"39712022060312524387936"</f>
        <v>39712022060312524387936</v>
      </c>
      <c r="C1609" s="4" t="s">
        <v>25</v>
      </c>
      <c r="D1609" s="4" t="str">
        <f>"林明宏"</f>
        <v>林明宏</v>
      </c>
      <c r="E1609" s="4" t="str">
        <f>"男"</f>
        <v>男</v>
      </c>
    </row>
    <row r="1610" spans="1:5" ht="30" customHeight="1">
      <c r="A1610" s="4">
        <v>1608</v>
      </c>
      <c r="B1610" s="4" t="str">
        <f>"39712022060313041987949"</f>
        <v>39712022060313041987949</v>
      </c>
      <c r="C1610" s="4" t="s">
        <v>25</v>
      </c>
      <c r="D1610" s="4" t="str">
        <f>"苏李娟"</f>
        <v>苏李娟</v>
      </c>
      <c r="E1610" s="4" t="str">
        <f aca="true" t="shared" si="77" ref="E1610:E1619">"女"</f>
        <v>女</v>
      </c>
    </row>
    <row r="1611" spans="1:5" ht="30" customHeight="1">
      <c r="A1611" s="4">
        <v>1609</v>
      </c>
      <c r="B1611" s="4" t="str">
        <f>"39712022060313104287953"</f>
        <v>39712022060313104287953</v>
      </c>
      <c r="C1611" s="4" t="s">
        <v>25</v>
      </c>
      <c r="D1611" s="4" t="str">
        <f>"陈晓慧"</f>
        <v>陈晓慧</v>
      </c>
      <c r="E1611" s="4" t="str">
        <f t="shared" si="77"/>
        <v>女</v>
      </c>
    </row>
    <row r="1612" spans="1:5" ht="30" customHeight="1">
      <c r="A1612" s="4">
        <v>1610</v>
      </c>
      <c r="B1612" s="4" t="str">
        <f>"39712022060313125387954"</f>
        <v>39712022060313125387954</v>
      </c>
      <c r="C1612" s="4" t="s">
        <v>25</v>
      </c>
      <c r="D1612" s="4" t="str">
        <f>"王诗梦"</f>
        <v>王诗梦</v>
      </c>
      <c r="E1612" s="4" t="str">
        <f t="shared" si="77"/>
        <v>女</v>
      </c>
    </row>
    <row r="1613" spans="1:5" ht="30" customHeight="1">
      <c r="A1613" s="4">
        <v>1611</v>
      </c>
      <c r="B1613" s="4" t="str">
        <f>"39712022060313141587956"</f>
        <v>39712022060313141587956</v>
      </c>
      <c r="C1613" s="4" t="s">
        <v>25</v>
      </c>
      <c r="D1613" s="4" t="str">
        <f>"林媛媛"</f>
        <v>林媛媛</v>
      </c>
      <c r="E1613" s="4" t="str">
        <f t="shared" si="77"/>
        <v>女</v>
      </c>
    </row>
    <row r="1614" spans="1:5" ht="30" customHeight="1">
      <c r="A1614" s="4">
        <v>1612</v>
      </c>
      <c r="B1614" s="4" t="str">
        <f>"39712022060313144687957"</f>
        <v>39712022060313144687957</v>
      </c>
      <c r="C1614" s="4" t="s">
        <v>25</v>
      </c>
      <c r="D1614" s="4" t="str">
        <f>"谢霞"</f>
        <v>谢霞</v>
      </c>
      <c r="E1614" s="4" t="str">
        <f t="shared" si="77"/>
        <v>女</v>
      </c>
    </row>
    <row r="1615" spans="1:5" ht="30" customHeight="1">
      <c r="A1615" s="4">
        <v>1613</v>
      </c>
      <c r="B1615" s="4" t="str">
        <f>"39712022060313165487959"</f>
        <v>39712022060313165487959</v>
      </c>
      <c r="C1615" s="4" t="s">
        <v>25</v>
      </c>
      <c r="D1615" s="4" t="str">
        <f>"吴丽婷"</f>
        <v>吴丽婷</v>
      </c>
      <c r="E1615" s="4" t="str">
        <f t="shared" si="77"/>
        <v>女</v>
      </c>
    </row>
    <row r="1616" spans="1:5" ht="30" customHeight="1">
      <c r="A1616" s="4">
        <v>1614</v>
      </c>
      <c r="B1616" s="4" t="str">
        <f>"39712022060313274587968"</f>
        <v>39712022060313274587968</v>
      </c>
      <c r="C1616" s="4" t="s">
        <v>25</v>
      </c>
      <c r="D1616" s="4" t="str">
        <f>"姚莹"</f>
        <v>姚莹</v>
      </c>
      <c r="E1616" s="4" t="str">
        <f t="shared" si="77"/>
        <v>女</v>
      </c>
    </row>
    <row r="1617" spans="1:5" ht="30" customHeight="1">
      <c r="A1617" s="4">
        <v>1615</v>
      </c>
      <c r="B1617" s="4" t="str">
        <f>"39712022060313522787990"</f>
        <v>39712022060313522787990</v>
      </c>
      <c r="C1617" s="4" t="s">
        <v>25</v>
      </c>
      <c r="D1617" s="4" t="str">
        <f>"羊菊香"</f>
        <v>羊菊香</v>
      </c>
      <c r="E1617" s="4" t="str">
        <f t="shared" si="77"/>
        <v>女</v>
      </c>
    </row>
    <row r="1618" spans="1:5" ht="30" customHeight="1">
      <c r="A1618" s="4">
        <v>1616</v>
      </c>
      <c r="B1618" s="4" t="str">
        <f>"39712022060314021587994"</f>
        <v>39712022060314021587994</v>
      </c>
      <c r="C1618" s="4" t="s">
        <v>25</v>
      </c>
      <c r="D1618" s="4" t="str">
        <f>"黄依"</f>
        <v>黄依</v>
      </c>
      <c r="E1618" s="4" t="str">
        <f t="shared" si="77"/>
        <v>女</v>
      </c>
    </row>
    <row r="1619" spans="1:5" ht="30" customHeight="1">
      <c r="A1619" s="4">
        <v>1617</v>
      </c>
      <c r="B1619" s="4" t="str">
        <f>"39712022060314074887998"</f>
        <v>39712022060314074887998</v>
      </c>
      <c r="C1619" s="4" t="s">
        <v>25</v>
      </c>
      <c r="D1619" s="4" t="str">
        <f>"潘蕾安"</f>
        <v>潘蕾安</v>
      </c>
      <c r="E1619" s="4" t="str">
        <f t="shared" si="77"/>
        <v>女</v>
      </c>
    </row>
    <row r="1620" spans="1:5" ht="30" customHeight="1">
      <c r="A1620" s="4">
        <v>1618</v>
      </c>
      <c r="B1620" s="4" t="str">
        <f>"39712022060314252288012"</f>
        <v>39712022060314252288012</v>
      </c>
      <c r="C1620" s="4" t="s">
        <v>25</v>
      </c>
      <c r="D1620" s="4" t="str">
        <f>"焦国鹏"</f>
        <v>焦国鹏</v>
      </c>
      <c r="E1620" s="4" t="str">
        <f>"男"</f>
        <v>男</v>
      </c>
    </row>
    <row r="1621" spans="1:5" ht="30" customHeight="1">
      <c r="A1621" s="4">
        <v>1619</v>
      </c>
      <c r="B1621" s="4" t="str">
        <f>"39712022060314252488013"</f>
        <v>39712022060314252488013</v>
      </c>
      <c r="C1621" s="4" t="s">
        <v>25</v>
      </c>
      <c r="D1621" s="4" t="str">
        <f>"王花"</f>
        <v>王花</v>
      </c>
      <c r="E1621" s="4" t="str">
        <f aca="true" t="shared" si="78" ref="E1621:E1646">"女"</f>
        <v>女</v>
      </c>
    </row>
    <row r="1622" spans="1:5" ht="30" customHeight="1">
      <c r="A1622" s="4">
        <v>1620</v>
      </c>
      <c r="B1622" s="4" t="str">
        <f>"39712022060314533588039"</f>
        <v>39712022060314533588039</v>
      </c>
      <c r="C1622" s="4" t="s">
        <v>25</v>
      </c>
      <c r="D1622" s="4" t="str">
        <f>"张玲"</f>
        <v>张玲</v>
      </c>
      <c r="E1622" s="4" t="str">
        <f t="shared" si="78"/>
        <v>女</v>
      </c>
    </row>
    <row r="1623" spans="1:5" ht="30" customHeight="1">
      <c r="A1623" s="4">
        <v>1621</v>
      </c>
      <c r="B1623" s="4" t="str">
        <f>"39712022060315230488065"</f>
        <v>39712022060315230488065</v>
      </c>
      <c r="C1623" s="4" t="s">
        <v>25</v>
      </c>
      <c r="D1623" s="4" t="str">
        <f>"陈杨梅"</f>
        <v>陈杨梅</v>
      </c>
      <c r="E1623" s="4" t="str">
        <f t="shared" si="78"/>
        <v>女</v>
      </c>
    </row>
    <row r="1624" spans="1:5" ht="30" customHeight="1">
      <c r="A1624" s="4">
        <v>1622</v>
      </c>
      <c r="B1624" s="4" t="str">
        <f>"39712022060315264788071"</f>
        <v>39712022060315264788071</v>
      </c>
      <c r="C1624" s="4" t="s">
        <v>25</v>
      </c>
      <c r="D1624" s="4" t="str">
        <f>"麦雯雯"</f>
        <v>麦雯雯</v>
      </c>
      <c r="E1624" s="4" t="str">
        <f t="shared" si="78"/>
        <v>女</v>
      </c>
    </row>
    <row r="1625" spans="1:5" ht="30" customHeight="1">
      <c r="A1625" s="4">
        <v>1623</v>
      </c>
      <c r="B1625" s="4" t="str">
        <f>"39712022060315403788081"</f>
        <v>39712022060315403788081</v>
      </c>
      <c r="C1625" s="4" t="s">
        <v>25</v>
      </c>
      <c r="D1625" s="4" t="str">
        <f>"黄吉秋"</f>
        <v>黄吉秋</v>
      </c>
      <c r="E1625" s="4" t="str">
        <f t="shared" si="78"/>
        <v>女</v>
      </c>
    </row>
    <row r="1626" spans="1:5" ht="30" customHeight="1">
      <c r="A1626" s="4">
        <v>1624</v>
      </c>
      <c r="B1626" s="4" t="str">
        <f>"39712022060316240788127"</f>
        <v>39712022060316240788127</v>
      </c>
      <c r="C1626" s="4" t="s">
        <v>25</v>
      </c>
      <c r="D1626" s="4" t="str">
        <f>"廖丽妹"</f>
        <v>廖丽妹</v>
      </c>
      <c r="E1626" s="4" t="str">
        <f t="shared" si="78"/>
        <v>女</v>
      </c>
    </row>
    <row r="1627" spans="1:5" ht="30" customHeight="1">
      <c r="A1627" s="4">
        <v>1625</v>
      </c>
      <c r="B1627" s="4" t="str">
        <f>"39712022060316282788130"</f>
        <v>39712022060316282788130</v>
      </c>
      <c r="C1627" s="4" t="s">
        <v>25</v>
      </c>
      <c r="D1627" s="4" t="str">
        <f>"陈秋可"</f>
        <v>陈秋可</v>
      </c>
      <c r="E1627" s="4" t="str">
        <f t="shared" si="78"/>
        <v>女</v>
      </c>
    </row>
    <row r="1628" spans="1:5" ht="30" customHeight="1">
      <c r="A1628" s="4">
        <v>1626</v>
      </c>
      <c r="B1628" s="4" t="str">
        <f>"39712022060316343288135"</f>
        <v>39712022060316343288135</v>
      </c>
      <c r="C1628" s="4" t="s">
        <v>25</v>
      </c>
      <c r="D1628" s="4" t="str">
        <f>"吴秀桂"</f>
        <v>吴秀桂</v>
      </c>
      <c r="E1628" s="4" t="str">
        <f t="shared" si="78"/>
        <v>女</v>
      </c>
    </row>
    <row r="1629" spans="1:5" ht="30" customHeight="1">
      <c r="A1629" s="4">
        <v>1627</v>
      </c>
      <c r="B1629" s="4" t="str">
        <f>"39712022060316413488142"</f>
        <v>39712022060316413488142</v>
      </c>
      <c r="C1629" s="4" t="s">
        <v>25</v>
      </c>
      <c r="D1629" s="4" t="str">
        <f>"王丹彤"</f>
        <v>王丹彤</v>
      </c>
      <c r="E1629" s="4" t="str">
        <f t="shared" si="78"/>
        <v>女</v>
      </c>
    </row>
    <row r="1630" spans="1:5" ht="30" customHeight="1">
      <c r="A1630" s="4">
        <v>1628</v>
      </c>
      <c r="B1630" s="4" t="str">
        <f>"39712022060316510388146"</f>
        <v>39712022060316510388146</v>
      </c>
      <c r="C1630" s="4" t="s">
        <v>25</v>
      </c>
      <c r="D1630" s="4" t="str">
        <f>"王小妹"</f>
        <v>王小妹</v>
      </c>
      <c r="E1630" s="4" t="str">
        <f t="shared" si="78"/>
        <v>女</v>
      </c>
    </row>
    <row r="1631" spans="1:5" ht="30" customHeight="1">
      <c r="A1631" s="4">
        <v>1629</v>
      </c>
      <c r="B1631" s="4" t="str">
        <f>"39712022060317085188166"</f>
        <v>39712022060317085188166</v>
      </c>
      <c r="C1631" s="4" t="s">
        <v>25</v>
      </c>
      <c r="D1631" s="4" t="str">
        <f>"陈楠"</f>
        <v>陈楠</v>
      </c>
      <c r="E1631" s="4" t="str">
        <f t="shared" si="78"/>
        <v>女</v>
      </c>
    </row>
    <row r="1632" spans="1:5" ht="30" customHeight="1">
      <c r="A1632" s="4">
        <v>1630</v>
      </c>
      <c r="B1632" s="4" t="str">
        <f>"39712022060317294688183"</f>
        <v>39712022060317294688183</v>
      </c>
      <c r="C1632" s="4" t="s">
        <v>25</v>
      </c>
      <c r="D1632" s="4" t="str">
        <f>"赖美圆"</f>
        <v>赖美圆</v>
      </c>
      <c r="E1632" s="4" t="str">
        <f t="shared" si="78"/>
        <v>女</v>
      </c>
    </row>
    <row r="1633" spans="1:5" ht="30" customHeight="1">
      <c r="A1633" s="4">
        <v>1631</v>
      </c>
      <c r="B1633" s="4" t="str">
        <f>"39712022060318093388227"</f>
        <v>39712022060318093388227</v>
      </c>
      <c r="C1633" s="4" t="s">
        <v>25</v>
      </c>
      <c r="D1633" s="4" t="str">
        <f>"邝红英"</f>
        <v>邝红英</v>
      </c>
      <c r="E1633" s="4" t="str">
        <f t="shared" si="78"/>
        <v>女</v>
      </c>
    </row>
    <row r="1634" spans="1:5" ht="30" customHeight="1">
      <c r="A1634" s="4">
        <v>1632</v>
      </c>
      <c r="B1634" s="4" t="str">
        <f>"39712022060318444988253"</f>
        <v>39712022060318444988253</v>
      </c>
      <c r="C1634" s="4" t="s">
        <v>25</v>
      </c>
      <c r="D1634" s="4" t="str">
        <f>"陈丽娇"</f>
        <v>陈丽娇</v>
      </c>
      <c r="E1634" s="4" t="str">
        <f t="shared" si="78"/>
        <v>女</v>
      </c>
    </row>
    <row r="1635" spans="1:5" ht="30" customHeight="1">
      <c r="A1635" s="4">
        <v>1633</v>
      </c>
      <c r="B1635" s="4" t="str">
        <f>"39712022060318452488254"</f>
        <v>39712022060318452488254</v>
      </c>
      <c r="C1635" s="4" t="s">
        <v>25</v>
      </c>
      <c r="D1635" s="4" t="str">
        <f>"黄琼蝶"</f>
        <v>黄琼蝶</v>
      </c>
      <c r="E1635" s="4" t="str">
        <f t="shared" si="78"/>
        <v>女</v>
      </c>
    </row>
    <row r="1636" spans="1:5" ht="30" customHeight="1">
      <c r="A1636" s="4">
        <v>1634</v>
      </c>
      <c r="B1636" s="4" t="str">
        <f>"39712022060318452688256"</f>
        <v>39712022060318452688256</v>
      </c>
      <c r="C1636" s="4" t="s">
        <v>25</v>
      </c>
      <c r="D1636" s="4" t="str">
        <f>"黄丽君"</f>
        <v>黄丽君</v>
      </c>
      <c r="E1636" s="4" t="str">
        <f t="shared" si="78"/>
        <v>女</v>
      </c>
    </row>
    <row r="1637" spans="1:5" ht="30" customHeight="1">
      <c r="A1637" s="4">
        <v>1635</v>
      </c>
      <c r="B1637" s="4" t="str">
        <f>"39712022060318573388263"</f>
        <v>39712022060318573388263</v>
      </c>
      <c r="C1637" s="4" t="s">
        <v>25</v>
      </c>
      <c r="D1637" s="4" t="str">
        <f>"王小月"</f>
        <v>王小月</v>
      </c>
      <c r="E1637" s="4" t="str">
        <f t="shared" si="78"/>
        <v>女</v>
      </c>
    </row>
    <row r="1638" spans="1:5" ht="30" customHeight="1">
      <c r="A1638" s="4">
        <v>1636</v>
      </c>
      <c r="B1638" s="4" t="str">
        <f>"39712022060319221088286"</f>
        <v>39712022060319221088286</v>
      </c>
      <c r="C1638" s="4" t="s">
        <v>25</v>
      </c>
      <c r="D1638" s="4" t="str">
        <f>"范逸璇"</f>
        <v>范逸璇</v>
      </c>
      <c r="E1638" s="4" t="str">
        <f t="shared" si="78"/>
        <v>女</v>
      </c>
    </row>
    <row r="1639" spans="1:5" ht="30" customHeight="1">
      <c r="A1639" s="4">
        <v>1637</v>
      </c>
      <c r="B1639" s="4" t="str">
        <f>"39712022060319391988303"</f>
        <v>39712022060319391988303</v>
      </c>
      <c r="C1639" s="4" t="s">
        <v>25</v>
      </c>
      <c r="D1639" s="4" t="str">
        <f>"黄丽露"</f>
        <v>黄丽露</v>
      </c>
      <c r="E1639" s="4" t="str">
        <f t="shared" si="78"/>
        <v>女</v>
      </c>
    </row>
    <row r="1640" spans="1:5" ht="30" customHeight="1">
      <c r="A1640" s="4">
        <v>1638</v>
      </c>
      <c r="B1640" s="4" t="str">
        <f>"39712022060320334288347"</f>
        <v>39712022060320334288347</v>
      </c>
      <c r="C1640" s="4" t="s">
        <v>25</v>
      </c>
      <c r="D1640" s="4" t="str">
        <f>"邱宇"</f>
        <v>邱宇</v>
      </c>
      <c r="E1640" s="4" t="str">
        <f t="shared" si="78"/>
        <v>女</v>
      </c>
    </row>
    <row r="1641" spans="1:5" ht="30" customHeight="1">
      <c r="A1641" s="4">
        <v>1639</v>
      </c>
      <c r="B1641" s="4" t="str">
        <f>"39712022060320400888358"</f>
        <v>39712022060320400888358</v>
      </c>
      <c r="C1641" s="4" t="s">
        <v>25</v>
      </c>
      <c r="D1641" s="4" t="str">
        <f>"梁静"</f>
        <v>梁静</v>
      </c>
      <c r="E1641" s="4" t="str">
        <f t="shared" si="78"/>
        <v>女</v>
      </c>
    </row>
    <row r="1642" spans="1:5" ht="30" customHeight="1">
      <c r="A1642" s="4">
        <v>1640</v>
      </c>
      <c r="B1642" s="4" t="str">
        <f>"39712022060321013988373"</f>
        <v>39712022060321013988373</v>
      </c>
      <c r="C1642" s="4" t="s">
        <v>25</v>
      </c>
      <c r="D1642" s="4" t="str">
        <f>"曾环"</f>
        <v>曾环</v>
      </c>
      <c r="E1642" s="4" t="str">
        <f t="shared" si="78"/>
        <v>女</v>
      </c>
    </row>
    <row r="1643" spans="1:5" ht="30" customHeight="1">
      <c r="A1643" s="4">
        <v>1641</v>
      </c>
      <c r="B1643" s="4" t="str">
        <f>"39712022060321100488387"</f>
        <v>39712022060321100488387</v>
      </c>
      <c r="C1643" s="4" t="s">
        <v>25</v>
      </c>
      <c r="D1643" s="4" t="str">
        <f>"彭园园"</f>
        <v>彭园园</v>
      </c>
      <c r="E1643" s="4" t="str">
        <f t="shared" si="78"/>
        <v>女</v>
      </c>
    </row>
    <row r="1644" spans="1:5" ht="30" customHeight="1">
      <c r="A1644" s="4">
        <v>1642</v>
      </c>
      <c r="B1644" s="4" t="str">
        <f>"39712022060321340788414"</f>
        <v>39712022060321340788414</v>
      </c>
      <c r="C1644" s="4" t="s">
        <v>25</v>
      </c>
      <c r="D1644" s="4" t="str">
        <f>"张少卿"</f>
        <v>张少卿</v>
      </c>
      <c r="E1644" s="4" t="str">
        <f t="shared" si="78"/>
        <v>女</v>
      </c>
    </row>
    <row r="1645" spans="1:5" ht="30" customHeight="1">
      <c r="A1645" s="4">
        <v>1643</v>
      </c>
      <c r="B1645" s="4" t="str">
        <f>"39712022060321490188432"</f>
        <v>39712022060321490188432</v>
      </c>
      <c r="C1645" s="4" t="s">
        <v>25</v>
      </c>
      <c r="D1645" s="4" t="str">
        <f>"武治平"</f>
        <v>武治平</v>
      </c>
      <c r="E1645" s="4" t="str">
        <f t="shared" si="78"/>
        <v>女</v>
      </c>
    </row>
    <row r="1646" spans="1:5" ht="30" customHeight="1">
      <c r="A1646" s="4">
        <v>1644</v>
      </c>
      <c r="B1646" s="4" t="str">
        <f>"39712022060321543688438"</f>
        <v>39712022060321543688438</v>
      </c>
      <c r="C1646" s="4" t="s">
        <v>25</v>
      </c>
      <c r="D1646" s="4" t="str">
        <f>"郑苏丽"</f>
        <v>郑苏丽</v>
      </c>
      <c r="E1646" s="4" t="str">
        <f t="shared" si="78"/>
        <v>女</v>
      </c>
    </row>
    <row r="1647" spans="1:5" ht="30" customHeight="1">
      <c r="A1647" s="4">
        <v>1645</v>
      </c>
      <c r="B1647" s="4" t="str">
        <f>"39712022060321562088441"</f>
        <v>39712022060321562088441</v>
      </c>
      <c r="C1647" s="4" t="s">
        <v>25</v>
      </c>
      <c r="D1647" s="4" t="str">
        <f>"岑松炳"</f>
        <v>岑松炳</v>
      </c>
      <c r="E1647" s="4" t="str">
        <f>"男"</f>
        <v>男</v>
      </c>
    </row>
    <row r="1648" spans="1:5" ht="30" customHeight="1">
      <c r="A1648" s="4">
        <v>1646</v>
      </c>
      <c r="B1648" s="4" t="str">
        <f>"39712022060322143288459"</f>
        <v>39712022060322143288459</v>
      </c>
      <c r="C1648" s="4" t="s">
        <v>25</v>
      </c>
      <c r="D1648" s="4" t="str">
        <f>"吴帯竹"</f>
        <v>吴帯竹</v>
      </c>
      <c r="E1648" s="4" t="str">
        <f aca="true" t="shared" si="79" ref="E1648:E1674">"女"</f>
        <v>女</v>
      </c>
    </row>
    <row r="1649" spans="1:5" ht="30" customHeight="1">
      <c r="A1649" s="4">
        <v>1647</v>
      </c>
      <c r="B1649" s="4" t="str">
        <f>"39712022060322161388460"</f>
        <v>39712022060322161388460</v>
      </c>
      <c r="C1649" s="4" t="s">
        <v>25</v>
      </c>
      <c r="D1649" s="4" t="str">
        <f>"麦丽翠"</f>
        <v>麦丽翠</v>
      </c>
      <c r="E1649" s="4" t="str">
        <f t="shared" si="79"/>
        <v>女</v>
      </c>
    </row>
    <row r="1650" spans="1:5" ht="30" customHeight="1">
      <c r="A1650" s="4">
        <v>1648</v>
      </c>
      <c r="B1650" s="4" t="str">
        <f>"39712022060322430988492"</f>
        <v>39712022060322430988492</v>
      </c>
      <c r="C1650" s="4" t="s">
        <v>25</v>
      </c>
      <c r="D1650" s="4" t="str">
        <f>"羊玉秀"</f>
        <v>羊玉秀</v>
      </c>
      <c r="E1650" s="4" t="str">
        <f t="shared" si="79"/>
        <v>女</v>
      </c>
    </row>
    <row r="1651" spans="1:5" ht="30" customHeight="1">
      <c r="A1651" s="4">
        <v>1649</v>
      </c>
      <c r="B1651" s="4" t="str">
        <f>"39712022060322435288493"</f>
        <v>39712022060322435288493</v>
      </c>
      <c r="C1651" s="4" t="s">
        <v>25</v>
      </c>
      <c r="D1651" s="4" t="str">
        <f>"张鼎丽"</f>
        <v>张鼎丽</v>
      </c>
      <c r="E1651" s="4" t="str">
        <f t="shared" si="79"/>
        <v>女</v>
      </c>
    </row>
    <row r="1652" spans="1:5" ht="30" customHeight="1">
      <c r="A1652" s="4">
        <v>1650</v>
      </c>
      <c r="B1652" s="4" t="str">
        <f>"39712022060322455788495"</f>
        <v>39712022060322455788495</v>
      </c>
      <c r="C1652" s="4" t="s">
        <v>25</v>
      </c>
      <c r="D1652" s="4" t="str">
        <f>"吉艳享"</f>
        <v>吉艳享</v>
      </c>
      <c r="E1652" s="4" t="str">
        <f t="shared" si="79"/>
        <v>女</v>
      </c>
    </row>
    <row r="1653" spans="1:5" ht="30" customHeight="1">
      <c r="A1653" s="4">
        <v>1651</v>
      </c>
      <c r="B1653" s="4" t="str">
        <f>"39712022060323203388523"</f>
        <v>39712022060323203388523</v>
      </c>
      <c r="C1653" s="4" t="s">
        <v>25</v>
      </c>
      <c r="D1653" s="4" t="str">
        <f>"黄钟娇"</f>
        <v>黄钟娇</v>
      </c>
      <c r="E1653" s="4" t="str">
        <f t="shared" si="79"/>
        <v>女</v>
      </c>
    </row>
    <row r="1654" spans="1:5" ht="30" customHeight="1">
      <c r="A1654" s="4">
        <v>1652</v>
      </c>
      <c r="B1654" s="4" t="str">
        <f>"39712022060323221388524"</f>
        <v>39712022060323221388524</v>
      </c>
      <c r="C1654" s="4" t="s">
        <v>25</v>
      </c>
      <c r="D1654" s="4" t="str">
        <f>"张泽莉"</f>
        <v>张泽莉</v>
      </c>
      <c r="E1654" s="4" t="str">
        <f t="shared" si="79"/>
        <v>女</v>
      </c>
    </row>
    <row r="1655" spans="1:5" ht="30" customHeight="1">
      <c r="A1655" s="4">
        <v>1653</v>
      </c>
      <c r="B1655" s="4" t="str">
        <f>"39712022060323262288527"</f>
        <v>39712022060323262288527</v>
      </c>
      <c r="C1655" s="4" t="s">
        <v>25</v>
      </c>
      <c r="D1655" s="4" t="str">
        <f>"何雄玲"</f>
        <v>何雄玲</v>
      </c>
      <c r="E1655" s="4" t="str">
        <f t="shared" si="79"/>
        <v>女</v>
      </c>
    </row>
    <row r="1656" spans="1:5" ht="30" customHeight="1">
      <c r="A1656" s="4">
        <v>1654</v>
      </c>
      <c r="B1656" s="4" t="str">
        <f>"39712022060323300988530"</f>
        <v>39712022060323300988530</v>
      </c>
      <c r="C1656" s="4" t="s">
        <v>25</v>
      </c>
      <c r="D1656" s="4" t="str">
        <f>"胡培顺"</f>
        <v>胡培顺</v>
      </c>
      <c r="E1656" s="4" t="str">
        <f t="shared" si="79"/>
        <v>女</v>
      </c>
    </row>
    <row r="1657" spans="1:5" ht="30" customHeight="1">
      <c r="A1657" s="4">
        <v>1655</v>
      </c>
      <c r="B1657" s="4" t="str">
        <f>"39712022060323521788542"</f>
        <v>39712022060323521788542</v>
      </c>
      <c r="C1657" s="4" t="s">
        <v>25</v>
      </c>
      <c r="D1657" s="4" t="str">
        <f>"麦苗"</f>
        <v>麦苗</v>
      </c>
      <c r="E1657" s="4" t="str">
        <f t="shared" si="79"/>
        <v>女</v>
      </c>
    </row>
    <row r="1658" spans="1:5" ht="30" customHeight="1">
      <c r="A1658" s="4">
        <v>1656</v>
      </c>
      <c r="B1658" s="4" t="str">
        <f>"39712022060400002188544"</f>
        <v>39712022060400002188544</v>
      </c>
      <c r="C1658" s="4" t="s">
        <v>25</v>
      </c>
      <c r="D1658" s="4" t="str">
        <f>"符亚恋"</f>
        <v>符亚恋</v>
      </c>
      <c r="E1658" s="4" t="str">
        <f t="shared" si="79"/>
        <v>女</v>
      </c>
    </row>
    <row r="1659" spans="1:5" ht="30" customHeight="1">
      <c r="A1659" s="4">
        <v>1657</v>
      </c>
      <c r="B1659" s="4" t="str">
        <f>"39712022060400005388545"</f>
        <v>39712022060400005388545</v>
      </c>
      <c r="C1659" s="4" t="s">
        <v>25</v>
      </c>
      <c r="D1659" s="4" t="str">
        <f>"吴亚琴"</f>
        <v>吴亚琴</v>
      </c>
      <c r="E1659" s="4" t="str">
        <f t="shared" si="79"/>
        <v>女</v>
      </c>
    </row>
    <row r="1660" spans="1:5" ht="30" customHeight="1">
      <c r="A1660" s="4">
        <v>1658</v>
      </c>
      <c r="B1660" s="4" t="str">
        <f>"39712022060400411688561"</f>
        <v>39712022060400411688561</v>
      </c>
      <c r="C1660" s="4" t="s">
        <v>25</v>
      </c>
      <c r="D1660" s="4" t="str">
        <f>"黄朝萍"</f>
        <v>黄朝萍</v>
      </c>
      <c r="E1660" s="4" t="str">
        <f t="shared" si="79"/>
        <v>女</v>
      </c>
    </row>
    <row r="1661" spans="1:5" ht="30" customHeight="1">
      <c r="A1661" s="4">
        <v>1659</v>
      </c>
      <c r="B1661" s="4" t="str">
        <f>"39712022060400571088566"</f>
        <v>39712022060400571088566</v>
      </c>
      <c r="C1661" s="4" t="s">
        <v>25</v>
      </c>
      <c r="D1661" s="4" t="str">
        <f>"何丽丁"</f>
        <v>何丽丁</v>
      </c>
      <c r="E1661" s="4" t="str">
        <f t="shared" si="79"/>
        <v>女</v>
      </c>
    </row>
    <row r="1662" spans="1:5" ht="30" customHeight="1">
      <c r="A1662" s="4">
        <v>1660</v>
      </c>
      <c r="B1662" s="4" t="str">
        <f>"39712022060408105488598"</f>
        <v>39712022060408105488598</v>
      </c>
      <c r="C1662" s="4" t="s">
        <v>25</v>
      </c>
      <c r="D1662" s="4" t="str">
        <f>"黄文春"</f>
        <v>黄文春</v>
      </c>
      <c r="E1662" s="4" t="str">
        <f t="shared" si="79"/>
        <v>女</v>
      </c>
    </row>
    <row r="1663" spans="1:5" ht="30" customHeight="1">
      <c r="A1663" s="4">
        <v>1661</v>
      </c>
      <c r="B1663" s="4" t="str">
        <f>"39712022060408223788603"</f>
        <v>39712022060408223788603</v>
      </c>
      <c r="C1663" s="4" t="s">
        <v>25</v>
      </c>
      <c r="D1663" s="4" t="str">
        <f>"颜晓丹"</f>
        <v>颜晓丹</v>
      </c>
      <c r="E1663" s="4" t="str">
        <f t="shared" si="79"/>
        <v>女</v>
      </c>
    </row>
    <row r="1664" spans="1:5" ht="30" customHeight="1">
      <c r="A1664" s="4">
        <v>1662</v>
      </c>
      <c r="B1664" s="4" t="str">
        <f>"39712022060408234188605"</f>
        <v>39712022060408234188605</v>
      </c>
      <c r="C1664" s="4" t="s">
        <v>25</v>
      </c>
      <c r="D1664" s="4" t="str">
        <f>"陈琳"</f>
        <v>陈琳</v>
      </c>
      <c r="E1664" s="4" t="str">
        <f t="shared" si="79"/>
        <v>女</v>
      </c>
    </row>
    <row r="1665" spans="1:5" ht="30" customHeight="1">
      <c r="A1665" s="4">
        <v>1663</v>
      </c>
      <c r="B1665" s="4" t="str">
        <f>"39712022060409190988639"</f>
        <v>39712022060409190988639</v>
      </c>
      <c r="C1665" s="4" t="s">
        <v>25</v>
      </c>
      <c r="D1665" s="4" t="str">
        <f>"李怡萱"</f>
        <v>李怡萱</v>
      </c>
      <c r="E1665" s="4" t="str">
        <f t="shared" si="79"/>
        <v>女</v>
      </c>
    </row>
    <row r="1666" spans="1:5" ht="30" customHeight="1">
      <c r="A1666" s="4">
        <v>1664</v>
      </c>
      <c r="B1666" s="4" t="str">
        <f>"39712022060409294488645"</f>
        <v>39712022060409294488645</v>
      </c>
      <c r="C1666" s="4" t="s">
        <v>25</v>
      </c>
      <c r="D1666" s="4" t="str">
        <f>"王丽娟"</f>
        <v>王丽娟</v>
      </c>
      <c r="E1666" s="4" t="str">
        <f t="shared" si="79"/>
        <v>女</v>
      </c>
    </row>
    <row r="1667" spans="1:5" ht="30" customHeight="1">
      <c r="A1667" s="4">
        <v>1665</v>
      </c>
      <c r="B1667" s="4" t="str">
        <f>"39712022060409491988663"</f>
        <v>39712022060409491988663</v>
      </c>
      <c r="C1667" s="4" t="s">
        <v>25</v>
      </c>
      <c r="D1667" s="4" t="str">
        <f>"郭昊"</f>
        <v>郭昊</v>
      </c>
      <c r="E1667" s="4" t="str">
        <f t="shared" si="79"/>
        <v>女</v>
      </c>
    </row>
    <row r="1668" spans="1:5" ht="30" customHeight="1">
      <c r="A1668" s="4">
        <v>1666</v>
      </c>
      <c r="B1668" s="4" t="str">
        <f>"39712022060409585788672"</f>
        <v>39712022060409585788672</v>
      </c>
      <c r="C1668" s="4" t="s">
        <v>25</v>
      </c>
      <c r="D1668" s="4" t="str">
        <f>"吴丽姑"</f>
        <v>吴丽姑</v>
      </c>
      <c r="E1668" s="4" t="str">
        <f t="shared" si="79"/>
        <v>女</v>
      </c>
    </row>
    <row r="1669" spans="1:5" ht="30" customHeight="1">
      <c r="A1669" s="4">
        <v>1667</v>
      </c>
      <c r="B1669" s="4" t="str">
        <f>"39712022060410010488677"</f>
        <v>39712022060410010488677</v>
      </c>
      <c r="C1669" s="4" t="s">
        <v>25</v>
      </c>
      <c r="D1669" s="4" t="str">
        <f>"黎蕾"</f>
        <v>黎蕾</v>
      </c>
      <c r="E1669" s="4" t="str">
        <f t="shared" si="79"/>
        <v>女</v>
      </c>
    </row>
    <row r="1670" spans="1:5" ht="30" customHeight="1">
      <c r="A1670" s="4">
        <v>1668</v>
      </c>
      <c r="B1670" s="4" t="str">
        <f>"39712022060410105088700"</f>
        <v>39712022060410105088700</v>
      </c>
      <c r="C1670" s="4" t="s">
        <v>25</v>
      </c>
      <c r="D1670" s="4" t="str">
        <f>"梁小叶"</f>
        <v>梁小叶</v>
      </c>
      <c r="E1670" s="4" t="str">
        <f t="shared" si="79"/>
        <v>女</v>
      </c>
    </row>
    <row r="1671" spans="1:5" ht="30" customHeight="1">
      <c r="A1671" s="4">
        <v>1669</v>
      </c>
      <c r="B1671" s="4" t="str">
        <f>"39712022060410294888718"</f>
        <v>39712022060410294888718</v>
      </c>
      <c r="C1671" s="4" t="s">
        <v>25</v>
      </c>
      <c r="D1671" s="4" t="str">
        <f>"林慧瑜"</f>
        <v>林慧瑜</v>
      </c>
      <c r="E1671" s="4" t="str">
        <f t="shared" si="79"/>
        <v>女</v>
      </c>
    </row>
    <row r="1672" spans="1:5" ht="30" customHeight="1">
      <c r="A1672" s="4">
        <v>1670</v>
      </c>
      <c r="B1672" s="4" t="str">
        <f>"39712022060410320288721"</f>
        <v>39712022060410320288721</v>
      </c>
      <c r="C1672" s="4" t="s">
        <v>25</v>
      </c>
      <c r="D1672" s="4" t="str">
        <f>"董莲英"</f>
        <v>董莲英</v>
      </c>
      <c r="E1672" s="4" t="str">
        <f t="shared" si="79"/>
        <v>女</v>
      </c>
    </row>
    <row r="1673" spans="1:5" ht="30" customHeight="1">
      <c r="A1673" s="4">
        <v>1671</v>
      </c>
      <c r="B1673" s="4" t="str">
        <f>"39712022060410364288733"</f>
        <v>39712022060410364288733</v>
      </c>
      <c r="C1673" s="4" t="s">
        <v>25</v>
      </c>
      <c r="D1673" s="4" t="str">
        <f>"储雅琦"</f>
        <v>储雅琦</v>
      </c>
      <c r="E1673" s="4" t="str">
        <f t="shared" si="79"/>
        <v>女</v>
      </c>
    </row>
    <row r="1674" spans="1:5" ht="30" customHeight="1">
      <c r="A1674" s="4">
        <v>1672</v>
      </c>
      <c r="B1674" s="4" t="str">
        <f>"39712022060410365988734"</f>
        <v>39712022060410365988734</v>
      </c>
      <c r="C1674" s="4" t="s">
        <v>25</v>
      </c>
      <c r="D1674" s="4" t="str">
        <f>"曾悦"</f>
        <v>曾悦</v>
      </c>
      <c r="E1674" s="4" t="str">
        <f t="shared" si="79"/>
        <v>女</v>
      </c>
    </row>
    <row r="1675" spans="1:5" ht="30" customHeight="1">
      <c r="A1675" s="4">
        <v>1673</v>
      </c>
      <c r="B1675" s="4" t="str">
        <f>"39712022060410420088744"</f>
        <v>39712022060410420088744</v>
      </c>
      <c r="C1675" s="4" t="s">
        <v>25</v>
      </c>
      <c r="D1675" s="4" t="str">
        <f>"李启栋"</f>
        <v>李启栋</v>
      </c>
      <c r="E1675" s="4" t="str">
        <f>"男"</f>
        <v>男</v>
      </c>
    </row>
    <row r="1676" spans="1:5" ht="30" customHeight="1">
      <c r="A1676" s="4">
        <v>1674</v>
      </c>
      <c r="B1676" s="4" t="str">
        <f>"39712022060411025888774"</f>
        <v>39712022060411025888774</v>
      </c>
      <c r="C1676" s="4" t="s">
        <v>25</v>
      </c>
      <c r="D1676" s="4" t="str">
        <f>"林妮妮"</f>
        <v>林妮妮</v>
      </c>
      <c r="E1676" s="4" t="str">
        <f>"女"</f>
        <v>女</v>
      </c>
    </row>
    <row r="1677" spans="1:5" ht="30" customHeight="1">
      <c r="A1677" s="4">
        <v>1675</v>
      </c>
      <c r="B1677" s="4" t="str">
        <f>"39712022060411214888801"</f>
        <v>39712022060411214888801</v>
      </c>
      <c r="C1677" s="4" t="s">
        <v>25</v>
      </c>
      <c r="D1677" s="4" t="str">
        <f>"吴淑艾"</f>
        <v>吴淑艾</v>
      </c>
      <c r="E1677" s="4" t="str">
        <f>"女"</f>
        <v>女</v>
      </c>
    </row>
    <row r="1678" spans="1:5" ht="30" customHeight="1">
      <c r="A1678" s="4">
        <v>1676</v>
      </c>
      <c r="B1678" s="4" t="str">
        <f>"39712022060411341788812"</f>
        <v>39712022060411341788812</v>
      </c>
      <c r="C1678" s="4" t="s">
        <v>25</v>
      </c>
      <c r="D1678" s="4" t="str">
        <f>"石翠文"</f>
        <v>石翠文</v>
      </c>
      <c r="E1678" s="4" t="str">
        <f>"男"</f>
        <v>男</v>
      </c>
    </row>
    <row r="1679" spans="1:5" ht="30" customHeight="1">
      <c r="A1679" s="4">
        <v>1677</v>
      </c>
      <c r="B1679" s="4" t="str">
        <f>"39712022060411462988823"</f>
        <v>39712022060411462988823</v>
      </c>
      <c r="C1679" s="4" t="s">
        <v>25</v>
      </c>
      <c r="D1679" s="4" t="str">
        <f>"郭圣代"</f>
        <v>郭圣代</v>
      </c>
      <c r="E1679" s="4" t="str">
        <f>"女"</f>
        <v>女</v>
      </c>
    </row>
    <row r="1680" spans="1:5" ht="30" customHeight="1">
      <c r="A1680" s="4">
        <v>1678</v>
      </c>
      <c r="B1680" s="4" t="str">
        <f>"39712022060411494788829"</f>
        <v>39712022060411494788829</v>
      </c>
      <c r="C1680" s="4" t="s">
        <v>25</v>
      </c>
      <c r="D1680" s="4" t="str">
        <f>"符丽虹"</f>
        <v>符丽虹</v>
      </c>
      <c r="E1680" s="4" t="str">
        <f>"女"</f>
        <v>女</v>
      </c>
    </row>
    <row r="1681" spans="1:5" ht="30" customHeight="1">
      <c r="A1681" s="4">
        <v>1679</v>
      </c>
      <c r="B1681" s="4" t="str">
        <f>"39712022060412011888840"</f>
        <v>39712022060412011888840</v>
      </c>
      <c r="C1681" s="4" t="s">
        <v>25</v>
      </c>
      <c r="D1681" s="4" t="str">
        <f>"周励纱"</f>
        <v>周励纱</v>
      </c>
      <c r="E1681" s="4" t="str">
        <f>"女"</f>
        <v>女</v>
      </c>
    </row>
    <row r="1682" spans="1:5" ht="30" customHeight="1">
      <c r="A1682" s="4">
        <v>1680</v>
      </c>
      <c r="B1682" s="4" t="str">
        <f>"39712022060412481288884"</f>
        <v>39712022060412481288884</v>
      </c>
      <c r="C1682" s="4" t="s">
        <v>25</v>
      </c>
      <c r="D1682" s="4" t="str">
        <f>"苏蔚红"</f>
        <v>苏蔚红</v>
      </c>
      <c r="E1682" s="4" t="str">
        <f>"女"</f>
        <v>女</v>
      </c>
    </row>
    <row r="1683" spans="1:5" ht="30" customHeight="1">
      <c r="A1683" s="4">
        <v>1681</v>
      </c>
      <c r="B1683" s="4" t="str">
        <f>"39712022060413135888908"</f>
        <v>39712022060413135888908</v>
      </c>
      <c r="C1683" s="4" t="s">
        <v>25</v>
      </c>
      <c r="D1683" s="4" t="str">
        <f>"伍春燕"</f>
        <v>伍春燕</v>
      </c>
      <c r="E1683" s="4" t="str">
        <f>"女"</f>
        <v>女</v>
      </c>
    </row>
    <row r="1684" spans="1:5" ht="30" customHeight="1">
      <c r="A1684" s="4">
        <v>1682</v>
      </c>
      <c r="B1684" s="4" t="str">
        <f>"39712022060414001188938"</f>
        <v>39712022060414001188938</v>
      </c>
      <c r="C1684" s="4" t="s">
        <v>25</v>
      </c>
      <c r="D1684" s="4" t="str">
        <f>"符祝绵"</f>
        <v>符祝绵</v>
      </c>
      <c r="E1684" s="4" t="str">
        <f>"男"</f>
        <v>男</v>
      </c>
    </row>
    <row r="1685" spans="1:5" ht="30" customHeight="1">
      <c r="A1685" s="4">
        <v>1683</v>
      </c>
      <c r="B1685" s="4" t="str">
        <f>"39712022060414231888956"</f>
        <v>39712022060414231888956</v>
      </c>
      <c r="C1685" s="4" t="s">
        <v>25</v>
      </c>
      <c r="D1685" s="4" t="str">
        <f>"杨一娇"</f>
        <v>杨一娇</v>
      </c>
      <c r="E1685" s="4" t="str">
        <f>"女"</f>
        <v>女</v>
      </c>
    </row>
    <row r="1686" spans="1:5" ht="30" customHeight="1">
      <c r="A1686" s="4">
        <v>1684</v>
      </c>
      <c r="B1686" s="4" t="str">
        <f>"39712022060415271689021"</f>
        <v>39712022060415271689021</v>
      </c>
      <c r="C1686" s="4" t="s">
        <v>25</v>
      </c>
      <c r="D1686" s="4" t="str">
        <f>"王佳佳"</f>
        <v>王佳佳</v>
      </c>
      <c r="E1686" s="4" t="str">
        <f>"女"</f>
        <v>女</v>
      </c>
    </row>
    <row r="1687" spans="1:5" ht="30" customHeight="1">
      <c r="A1687" s="4">
        <v>1685</v>
      </c>
      <c r="B1687" s="4" t="str">
        <f>"39712022060415283389023"</f>
        <v>39712022060415283389023</v>
      </c>
      <c r="C1687" s="4" t="s">
        <v>25</v>
      </c>
      <c r="D1687" s="4" t="str">
        <f>"张英文"</f>
        <v>张英文</v>
      </c>
      <c r="E1687" s="4" t="str">
        <f>"男"</f>
        <v>男</v>
      </c>
    </row>
    <row r="1688" spans="1:5" ht="30" customHeight="1">
      <c r="A1688" s="4">
        <v>1686</v>
      </c>
      <c r="B1688" s="4" t="str">
        <f>"39712022060415353889029"</f>
        <v>39712022060415353889029</v>
      </c>
      <c r="C1688" s="4" t="s">
        <v>25</v>
      </c>
      <c r="D1688" s="4" t="str">
        <f>"胡莉芬"</f>
        <v>胡莉芬</v>
      </c>
      <c r="E1688" s="4" t="str">
        <f aca="true" t="shared" si="80" ref="E1688:E1696">"女"</f>
        <v>女</v>
      </c>
    </row>
    <row r="1689" spans="1:5" ht="30" customHeight="1">
      <c r="A1689" s="4">
        <v>1687</v>
      </c>
      <c r="B1689" s="4" t="str">
        <f>"39712022060416185489077"</f>
        <v>39712022060416185489077</v>
      </c>
      <c r="C1689" s="4" t="s">
        <v>25</v>
      </c>
      <c r="D1689" s="4" t="str">
        <f>"梁宝文"</f>
        <v>梁宝文</v>
      </c>
      <c r="E1689" s="4" t="str">
        <f t="shared" si="80"/>
        <v>女</v>
      </c>
    </row>
    <row r="1690" spans="1:5" ht="30" customHeight="1">
      <c r="A1690" s="4">
        <v>1688</v>
      </c>
      <c r="B1690" s="4" t="str">
        <f>"39712022060416295189094"</f>
        <v>39712022060416295189094</v>
      </c>
      <c r="C1690" s="4" t="s">
        <v>25</v>
      </c>
      <c r="D1690" s="4" t="str">
        <f>"黄微微"</f>
        <v>黄微微</v>
      </c>
      <c r="E1690" s="4" t="str">
        <f t="shared" si="80"/>
        <v>女</v>
      </c>
    </row>
    <row r="1691" spans="1:5" ht="30" customHeight="1">
      <c r="A1691" s="4">
        <v>1689</v>
      </c>
      <c r="B1691" s="4" t="str">
        <f>"39712022060417031789127"</f>
        <v>39712022060417031789127</v>
      </c>
      <c r="C1691" s="4" t="s">
        <v>25</v>
      </c>
      <c r="D1691" s="4" t="str">
        <f>"何婵云"</f>
        <v>何婵云</v>
      </c>
      <c r="E1691" s="4" t="str">
        <f t="shared" si="80"/>
        <v>女</v>
      </c>
    </row>
    <row r="1692" spans="1:5" ht="30" customHeight="1">
      <c r="A1692" s="4">
        <v>1690</v>
      </c>
      <c r="B1692" s="4" t="str">
        <f>"39712022060417151989142"</f>
        <v>39712022060417151989142</v>
      </c>
      <c r="C1692" s="4" t="s">
        <v>25</v>
      </c>
      <c r="D1692" s="4" t="str">
        <f>"蔡彩金"</f>
        <v>蔡彩金</v>
      </c>
      <c r="E1692" s="4" t="str">
        <f t="shared" si="80"/>
        <v>女</v>
      </c>
    </row>
    <row r="1693" spans="1:5" ht="30" customHeight="1">
      <c r="A1693" s="4">
        <v>1691</v>
      </c>
      <c r="B1693" s="4" t="str">
        <f>"39712022060417262789155"</f>
        <v>39712022060417262789155</v>
      </c>
      <c r="C1693" s="4" t="s">
        <v>25</v>
      </c>
      <c r="D1693" s="4" t="str">
        <f>"李云珠"</f>
        <v>李云珠</v>
      </c>
      <c r="E1693" s="4" t="str">
        <f t="shared" si="80"/>
        <v>女</v>
      </c>
    </row>
    <row r="1694" spans="1:5" ht="30" customHeight="1">
      <c r="A1694" s="4">
        <v>1692</v>
      </c>
      <c r="B1694" s="4" t="str">
        <f>"39712022060417315689158"</f>
        <v>39712022060417315689158</v>
      </c>
      <c r="C1694" s="4" t="s">
        <v>25</v>
      </c>
      <c r="D1694" s="4" t="str">
        <f>"陈碧娇"</f>
        <v>陈碧娇</v>
      </c>
      <c r="E1694" s="4" t="str">
        <f t="shared" si="80"/>
        <v>女</v>
      </c>
    </row>
    <row r="1695" spans="1:5" ht="30" customHeight="1">
      <c r="A1695" s="4">
        <v>1693</v>
      </c>
      <c r="B1695" s="4" t="str">
        <f>"39712022060417470289171"</f>
        <v>39712022060417470289171</v>
      </c>
      <c r="C1695" s="4" t="s">
        <v>25</v>
      </c>
      <c r="D1695" s="4" t="str">
        <f>"张雪"</f>
        <v>张雪</v>
      </c>
      <c r="E1695" s="4" t="str">
        <f t="shared" si="80"/>
        <v>女</v>
      </c>
    </row>
    <row r="1696" spans="1:5" ht="30" customHeight="1">
      <c r="A1696" s="4">
        <v>1694</v>
      </c>
      <c r="B1696" s="4" t="str">
        <f>"39712022060417500489176"</f>
        <v>39712022060417500489176</v>
      </c>
      <c r="C1696" s="4" t="s">
        <v>25</v>
      </c>
      <c r="D1696" s="4" t="str">
        <f>"张雪莲"</f>
        <v>张雪莲</v>
      </c>
      <c r="E1696" s="4" t="str">
        <f t="shared" si="80"/>
        <v>女</v>
      </c>
    </row>
    <row r="1697" spans="1:5" ht="30" customHeight="1">
      <c r="A1697" s="4">
        <v>1695</v>
      </c>
      <c r="B1697" s="4" t="str">
        <f>"39712022060418062889189"</f>
        <v>39712022060418062889189</v>
      </c>
      <c r="C1697" s="4" t="s">
        <v>25</v>
      </c>
      <c r="D1697" s="4" t="str">
        <f>"吴英鹏"</f>
        <v>吴英鹏</v>
      </c>
      <c r="E1697" s="4" t="str">
        <f>"男"</f>
        <v>男</v>
      </c>
    </row>
    <row r="1698" spans="1:5" ht="30" customHeight="1">
      <c r="A1698" s="4">
        <v>1696</v>
      </c>
      <c r="B1698" s="4" t="str">
        <f>"39712022060418271589211"</f>
        <v>39712022060418271589211</v>
      </c>
      <c r="C1698" s="4" t="s">
        <v>25</v>
      </c>
      <c r="D1698" s="4" t="str">
        <f>"王春秋"</f>
        <v>王春秋</v>
      </c>
      <c r="E1698" s="4" t="str">
        <f aca="true" t="shared" si="81" ref="E1698:E1705">"女"</f>
        <v>女</v>
      </c>
    </row>
    <row r="1699" spans="1:5" ht="30" customHeight="1">
      <c r="A1699" s="4">
        <v>1697</v>
      </c>
      <c r="B1699" s="4" t="str">
        <f>"39712022060419022989241"</f>
        <v>39712022060419022989241</v>
      </c>
      <c r="C1699" s="4" t="s">
        <v>25</v>
      </c>
      <c r="D1699" s="4" t="str">
        <f>"林春羽"</f>
        <v>林春羽</v>
      </c>
      <c r="E1699" s="4" t="str">
        <f t="shared" si="81"/>
        <v>女</v>
      </c>
    </row>
    <row r="1700" spans="1:5" ht="30" customHeight="1">
      <c r="A1700" s="4">
        <v>1698</v>
      </c>
      <c r="B1700" s="4" t="str">
        <f>"39712022060419024689242"</f>
        <v>39712022060419024689242</v>
      </c>
      <c r="C1700" s="4" t="s">
        <v>25</v>
      </c>
      <c r="D1700" s="4" t="str">
        <f>"赵礼佳"</f>
        <v>赵礼佳</v>
      </c>
      <c r="E1700" s="4" t="str">
        <f t="shared" si="81"/>
        <v>女</v>
      </c>
    </row>
    <row r="1701" spans="1:5" ht="30" customHeight="1">
      <c r="A1701" s="4">
        <v>1699</v>
      </c>
      <c r="B1701" s="4" t="str">
        <f>"39712022060419043289244"</f>
        <v>39712022060419043289244</v>
      </c>
      <c r="C1701" s="4" t="s">
        <v>25</v>
      </c>
      <c r="D1701" s="4" t="str">
        <f>"符岐花"</f>
        <v>符岐花</v>
      </c>
      <c r="E1701" s="4" t="str">
        <f t="shared" si="81"/>
        <v>女</v>
      </c>
    </row>
    <row r="1702" spans="1:5" ht="30" customHeight="1">
      <c r="A1702" s="4">
        <v>1700</v>
      </c>
      <c r="B1702" s="4" t="str">
        <f>"39712022060419283789269"</f>
        <v>39712022060419283789269</v>
      </c>
      <c r="C1702" s="4" t="s">
        <v>25</v>
      </c>
      <c r="D1702" s="4" t="str">
        <f>"谭程"</f>
        <v>谭程</v>
      </c>
      <c r="E1702" s="4" t="str">
        <f t="shared" si="81"/>
        <v>女</v>
      </c>
    </row>
    <row r="1703" spans="1:5" ht="30" customHeight="1">
      <c r="A1703" s="4">
        <v>1701</v>
      </c>
      <c r="B1703" s="4" t="str">
        <f>"39712022060420091989307"</f>
        <v>39712022060420091989307</v>
      </c>
      <c r="C1703" s="4" t="s">
        <v>25</v>
      </c>
      <c r="D1703" s="4" t="str">
        <f>"董采旭"</f>
        <v>董采旭</v>
      </c>
      <c r="E1703" s="4" t="str">
        <f t="shared" si="81"/>
        <v>女</v>
      </c>
    </row>
    <row r="1704" spans="1:5" ht="30" customHeight="1">
      <c r="A1704" s="4">
        <v>1702</v>
      </c>
      <c r="B1704" s="4" t="str">
        <f>"39712022060420520689350"</f>
        <v>39712022060420520689350</v>
      </c>
      <c r="C1704" s="4" t="s">
        <v>25</v>
      </c>
      <c r="D1704" s="4" t="str">
        <f>"曾小晶"</f>
        <v>曾小晶</v>
      </c>
      <c r="E1704" s="4" t="str">
        <f t="shared" si="81"/>
        <v>女</v>
      </c>
    </row>
    <row r="1705" spans="1:5" ht="30" customHeight="1">
      <c r="A1705" s="4">
        <v>1703</v>
      </c>
      <c r="B1705" s="4" t="str">
        <f>"39712022060420583489359"</f>
        <v>39712022060420583489359</v>
      </c>
      <c r="C1705" s="4" t="s">
        <v>25</v>
      </c>
      <c r="D1705" s="4" t="str">
        <f>"黎春敏"</f>
        <v>黎春敏</v>
      </c>
      <c r="E1705" s="4" t="str">
        <f t="shared" si="81"/>
        <v>女</v>
      </c>
    </row>
    <row r="1706" spans="1:5" ht="30" customHeight="1">
      <c r="A1706" s="4">
        <v>1704</v>
      </c>
      <c r="B1706" s="4" t="str">
        <f>"39712022060420595389361"</f>
        <v>39712022060420595389361</v>
      </c>
      <c r="C1706" s="4" t="s">
        <v>25</v>
      </c>
      <c r="D1706" s="4" t="str">
        <f>"周兴强"</f>
        <v>周兴强</v>
      </c>
      <c r="E1706" s="4" t="str">
        <f>"男"</f>
        <v>男</v>
      </c>
    </row>
    <row r="1707" spans="1:5" ht="30" customHeight="1">
      <c r="A1707" s="4">
        <v>1705</v>
      </c>
      <c r="B1707" s="4" t="str">
        <f>"39712022060421405589406"</f>
        <v>39712022060421405589406</v>
      </c>
      <c r="C1707" s="4" t="s">
        <v>25</v>
      </c>
      <c r="D1707" s="4" t="str">
        <f>"林小琴"</f>
        <v>林小琴</v>
      </c>
      <c r="E1707" s="4" t="str">
        <f aca="true" t="shared" si="82" ref="E1707:E1713">"女"</f>
        <v>女</v>
      </c>
    </row>
    <row r="1708" spans="1:5" ht="30" customHeight="1">
      <c r="A1708" s="4">
        <v>1706</v>
      </c>
      <c r="B1708" s="4" t="str">
        <f>"39712022060421471989412"</f>
        <v>39712022060421471989412</v>
      </c>
      <c r="C1708" s="4" t="s">
        <v>25</v>
      </c>
      <c r="D1708" s="4" t="str">
        <f>"翁腾莉"</f>
        <v>翁腾莉</v>
      </c>
      <c r="E1708" s="4" t="str">
        <f t="shared" si="82"/>
        <v>女</v>
      </c>
    </row>
    <row r="1709" spans="1:5" ht="30" customHeight="1">
      <c r="A1709" s="4">
        <v>1707</v>
      </c>
      <c r="B1709" s="4" t="str">
        <f>"39712022060421472389413"</f>
        <v>39712022060421472389413</v>
      </c>
      <c r="C1709" s="4" t="s">
        <v>25</v>
      </c>
      <c r="D1709" s="4" t="str">
        <f>"林雪莉"</f>
        <v>林雪莉</v>
      </c>
      <c r="E1709" s="4" t="str">
        <f t="shared" si="82"/>
        <v>女</v>
      </c>
    </row>
    <row r="1710" spans="1:5" ht="30" customHeight="1">
      <c r="A1710" s="4">
        <v>1708</v>
      </c>
      <c r="B1710" s="4" t="str">
        <f>"39712022060422070289428"</f>
        <v>39712022060422070289428</v>
      </c>
      <c r="C1710" s="4" t="s">
        <v>25</v>
      </c>
      <c r="D1710" s="4" t="str">
        <f>"谢桂琴"</f>
        <v>谢桂琴</v>
      </c>
      <c r="E1710" s="4" t="str">
        <f t="shared" si="82"/>
        <v>女</v>
      </c>
    </row>
    <row r="1711" spans="1:5" ht="30" customHeight="1">
      <c r="A1711" s="4">
        <v>1709</v>
      </c>
      <c r="B1711" s="4" t="str">
        <f>"39712022060422142689438"</f>
        <v>39712022060422142689438</v>
      </c>
      <c r="C1711" s="4" t="s">
        <v>25</v>
      </c>
      <c r="D1711" s="4" t="str">
        <f>"邢斯斯"</f>
        <v>邢斯斯</v>
      </c>
      <c r="E1711" s="4" t="str">
        <f t="shared" si="82"/>
        <v>女</v>
      </c>
    </row>
    <row r="1712" spans="1:5" ht="30" customHeight="1">
      <c r="A1712" s="4">
        <v>1710</v>
      </c>
      <c r="B1712" s="4" t="str">
        <f>"39712022060422463289476"</f>
        <v>39712022060422463289476</v>
      </c>
      <c r="C1712" s="4" t="s">
        <v>25</v>
      </c>
      <c r="D1712" s="4" t="str">
        <f>"陈霏"</f>
        <v>陈霏</v>
      </c>
      <c r="E1712" s="4" t="str">
        <f t="shared" si="82"/>
        <v>女</v>
      </c>
    </row>
    <row r="1713" spans="1:5" ht="30" customHeight="1">
      <c r="A1713" s="4">
        <v>1711</v>
      </c>
      <c r="B1713" s="4" t="str">
        <f>"39712022060423291689527"</f>
        <v>39712022060423291689527</v>
      </c>
      <c r="C1713" s="4" t="s">
        <v>25</v>
      </c>
      <c r="D1713" s="4" t="str">
        <f>"曹萌"</f>
        <v>曹萌</v>
      </c>
      <c r="E1713" s="4" t="str">
        <f t="shared" si="82"/>
        <v>女</v>
      </c>
    </row>
    <row r="1714" spans="1:5" ht="30" customHeight="1">
      <c r="A1714" s="4">
        <v>1712</v>
      </c>
      <c r="B1714" s="4" t="str">
        <f>"39712022060423324089529"</f>
        <v>39712022060423324089529</v>
      </c>
      <c r="C1714" s="4" t="s">
        <v>25</v>
      </c>
      <c r="D1714" s="4" t="str">
        <f>"麦禄岗"</f>
        <v>麦禄岗</v>
      </c>
      <c r="E1714" s="4" t="str">
        <f>"男"</f>
        <v>男</v>
      </c>
    </row>
    <row r="1715" spans="1:5" ht="30" customHeight="1">
      <c r="A1715" s="4">
        <v>1713</v>
      </c>
      <c r="B1715" s="4" t="str">
        <f>"39712022060423375889531"</f>
        <v>39712022060423375889531</v>
      </c>
      <c r="C1715" s="4" t="s">
        <v>25</v>
      </c>
      <c r="D1715" s="4" t="str">
        <f>"王海花"</f>
        <v>王海花</v>
      </c>
      <c r="E1715" s="4" t="str">
        <f>"女"</f>
        <v>女</v>
      </c>
    </row>
    <row r="1716" spans="1:5" ht="30" customHeight="1">
      <c r="A1716" s="4">
        <v>1714</v>
      </c>
      <c r="B1716" s="4" t="str">
        <f>"39712022060423544589543"</f>
        <v>39712022060423544589543</v>
      </c>
      <c r="C1716" s="4" t="s">
        <v>25</v>
      </c>
      <c r="D1716" s="4" t="str">
        <f>"吕晓东"</f>
        <v>吕晓东</v>
      </c>
      <c r="E1716" s="4" t="str">
        <f>"男"</f>
        <v>男</v>
      </c>
    </row>
    <row r="1717" spans="1:5" ht="30" customHeight="1">
      <c r="A1717" s="4">
        <v>1715</v>
      </c>
      <c r="B1717" s="4" t="str">
        <f>"39712022060423561089544"</f>
        <v>39712022060423561089544</v>
      </c>
      <c r="C1717" s="4" t="s">
        <v>25</v>
      </c>
      <c r="D1717" s="4" t="str">
        <f>"符凯花"</f>
        <v>符凯花</v>
      </c>
      <c r="E1717" s="4" t="str">
        <f aca="true" t="shared" si="83" ref="E1717:E1731">"女"</f>
        <v>女</v>
      </c>
    </row>
    <row r="1718" spans="1:5" ht="30" customHeight="1">
      <c r="A1718" s="4">
        <v>1716</v>
      </c>
      <c r="B1718" s="4" t="str">
        <f>"39712022060500242889566"</f>
        <v>39712022060500242889566</v>
      </c>
      <c r="C1718" s="4" t="s">
        <v>25</v>
      </c>
      <c r="D1718" s="4" t="str">
        <f>"杨丹"</f>
        <v>杨丹</v>
      </c>
      <c r="E1718" s="4" t="str">
        <f t="shared" si="83"/>
        <v>女</v>
      </c>
    </row>
    <row r="1719" spans="1:5" ht="30" customHeight="1">
      <c r="A1719" s="4">
        <v>1717</v>
      </c>
      <c r="B1719" s="4" t="str">
        <f>"39712022060501503189574"</f>
        <v>39712022060501503189574</v>
      </c>
      <c r="C1719" s="4" t="s">
        <v>25</v>
      </c>
      <c r="D1719" s="4" t="str">
        <f>"李婷"</f>
        <v>李婷</v>
      </c>
      <c r="E1719" s="4" t="str">
        <f t="shared" si="83"/>
        <v>女</v>
      </c>
    </row>
    <row r="1720" spans="1:5" ht="30" customHeight="1">
      <c r="A1720" s="4">
        <v>1718</v>
      </c>
      <c r="B1720" s="4" t="str">
        <f>"39712022060509120989630"</f>
        <v>39712022060509120989630</v>
      </c>
      <c r="C1720" s="4" t="s">
        <v>25</v>
      </c>
      <c r="D1720" s="4" t="str">
        <f>"曾德珠"</f>
        <v>曾德珠</v>
      </c>
      <c r="E1720" s="4" t="str">
        <f t="shared" si="83"/>
        <v>女</v>
      </c>
    </row>
    <row r="1721" spans="1:5" ht="30" customHeight="1">
      <c r="A1721" s="4">
        <v>1719</v>
      </c>
      <c r="B1721" s="4" t="str">
        <f>"39712022060509170689643"</f>
        <v>39712022060509170689643</v>
      </c>
      <c r="C1721" s="4" t="s">
        <v>25</v>
      </c>
      <c r="D1721" s="4" t="str">
        <f>"黄旋"</f>
        <v>黄旋</v>
      </c>
      <c r="E1721" s="4" t="str">
        <f t="shared" si="83"/>
        <v>女</v>
      </c>
    </row>
    <row r="1722" spans="1:5" ht="30" customHeight="1">
      <c r="A1722" s="4">
        <v>1720</v>
      </c>
      <c r="B1722" s="4" t="str">
        <f>"39712022060510175989758"</f>
        <v>39712022060510175989758</v>
      </c>
      <c r="C1722" s="4" t="s">
        <v>25</v>
      </c>
      <c r="D1722" s="4" t="str">
        <f>"王晓娟"</f>
        <v>王晓娟</v>
      </c>
      <c r="E1722" s="4" t="str">
        <f t="shared" si="83"/>
        <v>女</v>
      </c>
    </row>
    <row r="1723" spans="1:5" ht="30" customHeight="1">
      <c r="A1723" s="4">
        <v>1721</v>
      </c>
      <c r="B1723" s="4" t="str">
        <f>"39712022060510213489770"</f>
        <v>39712022060510213489770</v>
      </c>
      <c r="C1723" s="4" t="s">
        <v>25</v>
      </c>
      <c r="D1723" s="4" t="str">
        <f>"叶嘉蔚"</f>
        <v>叶嘉蔚</v>
      </c>
      <c r="E1723" s="4" t="str">
        <f t="shared" si="83"/>
        <v>女</v>
      </c>
    </row>
    <row r="1724" spans="1:5" ht="30" customHeight="1">
      <c r="A1724" s="4">
        <v>1722</v>
      </c>
      <c r="B1724" s="4" t="str">
        <f>"39712022060510262089779"</f>
        <v>39712022060510262089779</v>
      </c>
      <c r="C1724" s="4" t="s">
        <v>25</v>
      </c>
      <c r="D1724" s="4" t="str">
        <f>"陈凤晓"</f>
        <v>陈凤晓</v>
      </c>
      <c r="E1724" s="4" t="str">
        <f t="shared" si="83"/>
        <v>女</v>
      </c>
    </row>
    <row r="1725" spans="1:5" ht="30" customHeight="1">
      <c r="A1725" s="4">
        <v>1723</v>
      </c>
      <c r="B1725" s="4" t="str">
        <f>"39712022060510365389799"</f>
        <v>39712022060510365389799</v>
      </c>
      <c r="C1725" s="4" t="s">
        <v>25</v>
      </c>
      <c r="D1725" s="4" t="str">
        <f>"王莉莎"</f>
        <v>王莉莎</v>
      </c>
      <c r="E1725" s="4" t="str">
        <f t="shared" si="83"/>
        <v>女</v>
      </c>
    </row>
    <row r="1726" spans="1:5" ht="30" customHeight="1">
      <c r="A1726" s="4">
        <v>1724</v>
      </c>
      <c r="B1726" s="4" t="str">
        <f>"39712022060510494189823"</f>
        <v>39712022060510494189823</v>
      </c>
      <c r="C1726" s="4" t="s">
        <v>25</v>
      </c>
      <c r="D1726" s="4" t="str">
        <f>"李禄瑞"</f>
        <v>李禄瑞</v>
      </c>
      <c r="E1726" s="4" t="str">
        <f t="shared" si="83"/>
        <v>女</v>
      </c>
    </row>
    <row r="1727" spans="1:5" ht="30" customHeight="1">
      <c r="A1727" s="4">
        <v>1725</v>
      </c>
      <c r="B1727" s="4" t="str">
        <f>"39712022060510535889829"</f>
        <v>39712022060510535889829</v>
      </c>
      <c r="C1727" s="4" t="s">
        <v>25</v>
      </c>
      <c r="D1727" s="4" t="str">
        <f>"涂妹"</f>
        <v>涂妹</v>
      </c>
      <c r="E1727" s="4" t="str">
        <f t="shared" si="83"/>
        <v>女</v>
      </c>
    </row>
    <row r="1728" spans="1:5" ht="30" customHeight="1">
      <c r="A1728" s="4">
        <v>1726</v>
      </c>
      <c r="B1728" s="4" t="str">
        <f>"39712022060510592689844"</f>
        <v>39712022060510592689844</v>
      </c>
      <c r="C1728" s="4" t="s">
        <v>25</v>
      </c>
      <c r="D1728" s="4" t="str">
        <f>"王馥荣"</f>
        <v>王馥荣</v>
      </c>
      <c r="E1728" s="4" t="str">
        <f t="shared" si="83"/>
        <v>女</v>
      </c>
    </row>
    <row r="1729" spans="1:5" ht="30" customHeight="1">
      <c r="A1729" s="4">
        <v>1727</v>
      </c>
      <c r="B1729" s="4" t="str">
        <f>"39712022060511174589871"</f>
        <v>39712022060511174589871</v>
      </c>
      <c r="C1729" s="4" t="s">
        <v>25</v>
      </c>
      <c r="D1729" s="4" t="str">
        <f>"韩紫薇"</f>
        <v>韩紫薇</v>
      </c>
      <c r="E1729" s="4" t="str">
        <f t="shared" si="83"/>
        <v>女</v>
      </c>
    </row>
    <row r="1730" spans="1:5" ht="30" customHeight="1">
      <c r="A1730" s="4">
        <v>1728</v>
      </c>
      <c r="B1730" s="4" t="str">
        <f>"39712022060511185189875"</f>
        <v>39712022060511185189875</v>
      </c>
      <c r="C1730" s="4" t="s">
        <v>25</v>
      </c>
      <c r="D1730" s="4" t="str">
        <f>"孙婧莹"</f>
        <v>孙婧莹</v>
      </c>
      <c r="E1730" s="4" t="str">
        <f t="shared" si="83"/>
        <v>女</v>
      </c>
    </row>
    <row r="1731" spans="1:5" ht="30" customHeight="1">
      <c r="A1731" s="4">
        <v>1729</v>
      </c>
      <c r="B1731" s="4" t="str">
        <f>"39712022060511494789927"</f>
        <v>39712022060511494789927</v>
      </c>
      <c r="C1731" s="4" t="s">
        <v>25</v>
      </c>
      <c r="D1731" s="4" t="str">
        <f>"陈琼"</f>
        <v>陈琼</v>
      </c>
      <c r="E1731" s="4" t="str">
        <f t="shared" si="83"/>
        <v>女</v>
      </c>
    </row>
    <row r="1732" spans="1:5" ht="30" customHeight="1">
      <c r="A1732" s="4">
        <v>1730</v>
      </c>
      <c r="B1732" s="4" t="str">
        <f>"39712022060511581689938"</f>
        <v>39712022060511581689938</v>
      </c>
      <c r="C1732" s="4" t="s">
        <v>25</v>
      </c>
      <c r="D1732" s="4" t="str">
        <f>"汤玉棋"</f>
        <v>汤玉棋</v>
      </c>
      <c r="E1732" s="4" t="str">
        <f>"男"</f>
        <v>男</v>
      </c>
    </row>
    <row r="1733" spans="1:5" ht="30" customHeight="1">
      <c r="A1733" s="4">
        <v>1731</v>
      </c>
      <c r="B1733" s="4" t="str">
        <f>"39712022060511591089939"</f>
        <v>39712022060511591089939</v>
      </c>
      <c r="C1733" s="4" t="s">
        <v>25</v>
      </c>
      <c r="D1733" s="4" t="str">
        <f>"黄日春"</f>
        <v>黄日春</v>
      </c>
      <c r="E1733" s="4" t="str">
        <f aca="true" t="shared" si="84" ref="E1733:E1741">"女"</f>
        <v>女</v>
      </c>
    </row>
    <row r="1734" spans="1:5" ht="30" customHeight="1">
      <c r="A1734" s="4">
        <v>1732</v>
      </c>
      <c r="B1734" s="4" t="str">
        <f>"39712022060512000589942"</f>
        <v>39712022060512000589942</v>
      </c>
      <c r="C1734" s="4" t="s">
        <v>25</v>
      </c>
      <c r="D1734" s="4" t="str">
        <f>"郑丽妃"</f>
        <v>郑丽妃</v>
      </c>
      <c r="E1734" s="4" t="str">
        <f t="shared" si="84"/>
        <v>女</v>
      </c>
    </row>
    <row r="1735" spans="1:5" ht="30" customHeight="1">
      <c r="A1735" s="4">
        <v>1733</v>
      </c>
      <c r="B1735" s="4" t="str">
        <f>"39712022060512062089953"</f>
        <v>39712022060512062089953</v>
      </c>
      <c r="C1735" s="4" t="s">
        <v>25</v>
      </c>
      <c r="D1735" s="4" t="str">
        <f>"任琳琳"</f>
        <v>任琳琳</v>
      </c>
      <c r="E1735" s="4" t="str">
        <f t="shared" si="84"/>
        <v>女</v>
      </c>
    </row>
    <row r="1736" spans="1:5" ht="30" customHeight="1">
      <c r="A1736" s="4">
        <v>1734</v>
      </c>
      <c r="B1736" s="4" t="str">
        <f>"39712022060512123789961"</f>
        <v>39712022060512123789961</v>
      </c>
      <c r="C1736" s="4" t="s">
        <v>25</v>
      </c>
      <c r="D1736" s="4" t="str">
        <f>"梁秀云"</f>
        <v>梁秀云</v>
      </c>
      <c r="E1736" s="4" t="str">
        <f t="shared" si="84"/>
        <v>女</v>
      </c>
    </row>
    <row r="1737" spans="1:5" ht="30" customHeight="1">
      <c r="A1737" s="4">
        <v>1735</v>
      </c>
      <c r="B1737" s="4" t="str">
        <f>"39712022060512205589970"</f>
        <v>39712022060512205589970</v>
      </c>
      <c r="C1737" s="4" t="s">
        <v>25</v>
      </c>
      <c r="D1737" s="4" t="str">
        <f>"梁语珈"</f>
        <v>梁语珈</v>
      </c>
      <c r="E1737" s="4" t="str">
        <f t="shared" si="84"/>
        <v>女</v>
      </c>
    </row>
    <row r="1738" spans="1:5" ht="30" customHeight="1">
      <c r="A1738" s="4">
        <v>1736</v>
      </c>
      <c r="B1738" s="4" t="str">
        <f>"39712022060512235689976"</f>
        <v>39712022060512235689976</v>
      </c>
      <c r="C1738" s="4" t="s">
        <v>25</v>
      </c>
      <c r="D1738" s="4" t="str">
        <f>"吴晓莹"</f>
        <v>吴晓莹</v>
      </c>
      <c r="E1738" s="4" t="str">
        <f t="shared" si="84"/>
        <v>女</v>
      </c>
    </row>
    <row r="1739" spans="1:5" ht="30" customHeight="1">
      <c r="A1739" s="4">
        <v>1737</v>
      </c>
      <c r="B1739" s="4" t="str">
        <f>"39712022060512502389999"</f>
        <v>39712022060512502389999</v>
      </c>
      <c r="C1739" s="4" t="s">
        <v>25</v>
      </c>
      <c r="D1739" s="4" t="str">
        <f>"王绥婷"</f>
        <v>王绥婷</v>
      </c>
      <c r="E1739" s="4" t="str">
        <f t="shared" si="84"/>
        <v>女</v>
      </c>
    </row>
    <row r="1740" spans="1:5" ht="30" customHeight="1">
      <c r="A1740" s="4">
        <v>1738</v>
      </c>
      <c r="B1740" s="4" t="str">
        <f>"39712022060513040490013"</f>
        <v>39712022060513040490013</v>
      </c>
      <c r="C1740" s="4" t="s">
        <v>25</v>
      </c>
      <c r="D1740" s="4" t="str">
        <f>"柯于星"</f>
        <v>柯于星</v>
      </c>
      <c r="E1740" s="4" t="str">
        <f t="shared" si="84"/>
        <v>女</v>
      </c>
    </row>
    <row r="1741" spans="1:5" ht="30" customHeight="1">
      <c r="A1741" s="4">
        <v>1739</v>
      </c>
      <c r="B1741" s="4" t="str">
        <f>"39712022060513225690045"</f>
        <v>39712022060513225690045</v>
      </c>
      <c r="C1741" s="4" t="s">
        <v>25</v>
      </c>
      <c r="D1741" s="4" t="str">
        <f>"李永爱"</f>
        <v>李永爱</v>
      </c>
      <c r="E1741" s="4" t="str">
        <f t="shared" si="84"/>
        <v>女</v>
      </c>
    </row>
    <row r="1742" spans="1:5" ht="30" customHeight="1">
      <c r="A1742" s="4">
        <v>1740</v>
      </c>
      <c r="B1742" s="4" t="str">
        <f>"39712022060514120390103"</f>
        <v>39712022060514120390103</v>
      </c>
      <c r="C1742" s="4" t="s">
        <v>25</v>
      </c>
      <c r="D1742" s="4" t="str">
        <f>"宋坤阳"</f>
        <v>宋坤阳</v>
      </c>
      <c r="E1742" s="4" t="str">
        <f>"男"</f>
        <v>男</v>
      </c>
    </row>
    <row r="1743" spans="1:5" ht="30" customHeight="1">
      <c r="A1743" s="4">
        <v>1741</v>
      </c>
      <c r="B1743" s="4" t="str">
        <f>"39712022060514320990129"</f>
        <v>39712022060514320990129</v>
      </c>
      <c r="C1743" s="4" t="s">
        <v>25</v>
      </c>
      <c r="D1743" s="4" t="str">
        <f>"符爱孟"</f>
        <v>符爱孟</v>
      </c>
      <c r="E1743" s="4" t="str">
        <f aca="true" t="shared" si="85" ref="E1743:E1761">"女"</f>
        <v>女</v>
      </c>
    </row>
    <row r="1744" spans="1:5" ht="30" customHeight="1">
      <c r="A1744" s="4">
        <v>1742</v>
      </c>
      <c r="B1744" s="4" t="str">
        <f>"39712022060514333890132"</f>
        <v>39712022060514333890132</v>
      </c>
      <c r="C1744" s="4" t="s">
        <v>25</v>
      </c>
      <c r="D1744" s="4" t="str">
        <f>"李伊果"</f>
        <v>李伊果</v>
      </c>
      <c r="E1744" s="4" t="str">
        <f t="shared" si="85"/>
        <v>女</v>
      </c>
    </row>
    <row r="1745" spans="1:5" ht="30" customHeight="1">
      <c r="A1745" s="4">
        <v>1743</v>
      </c>
      <c r="B1745" s="4" t="str">
        <f>"39712022060514363290134"</f>
        <v>39712022060514363290134</v>
      </c>
      <c r="C1745" s="4" t="s">
        <v>25</v>
      </c>
      <c r="D1745" s="4" t="str">
        <f>"谢颖"</f>
        <v>谢颖</v>
      </c>
      <c r="E1745" s="4" t="str">
        <f t="shared" si="85"/>
        <v>女</v>
      </c>
    </row>
    <row r="1746" spans="1:5" ht="30" customHeight="1">
      <c r="A1746" s="4">
        <v>1744</v>
      </c>
      <c r="B1746" s="4" t="str">
        <f>"39712022060515384690202"</f>
        <v>39712022060515384690202</v>
      </c>
      <c r="C1746" s="4" t="s">
        <v>25</v>
      </c>
      <c r="D1746" s="4" t="str">
        <f>"自海亚"</f>
        <v>自海亚</v>
      </c>
      <c r="E1746" s="4" t="str">
        <f t="shared" si="85"/>
        <v>女</v>
      </c>
    </row>
    <row r="1747" spans="1:5" ht="30" customHeight="1">
      <c r="A1747" s="4">
        <v>1745</v>
      </c>
      <c r="B1747" s="4" t="str">
        <f>"39712022060515593590229"</f>
        <v>39712022060515593590229</v>
      </c>
      <c r="C1747" s="4" t="s">
        <v>25</v>
      </c>
      <c r="D1747" s="4" t="str">
        <f>"黎兰桂"</f>
        <v>黎兰桂</v>
      </c>
      <c r="E1747" s="4" t="str">
        <f t="shared" si="85"/>
        <v>女</v>
      </c>
    </row>
    <row r="1748" spans="1:5" ht="30" customHeight="1">
      <c r="A1748" s="4">
        <v>1746</v>
      </c>
      <c r="B1748" s="4" t="str">
        <f>"39712022060516090890243"</f>
        <v>39712022060516090890243</v>
      </c>
      <c r="C1748" s="4" t="s">
        <v>25</v>
      </c>
      <c r="D1748" s="4" t="str">
        <f>"林海燕"</f>
        <v>林海燕</v>
      </c>
      <c r="E1748" s="4" t="str">
        <f t="shared" si="85"/>
        <v>女</v>
      </c>
    </row>
    <row r="1749" spans="1:5" ht="30" customHeight="1">
      <c r="A1749" s="4">
        <v>1747</v>
      </c>
      <c r="B1749" s="4" t="str">
        <f>"39712022060516100290244"</f>
        <v>39712022060516100290244</v>
      </c>
      <c r="C1749" s="4" t="s">
        <v>25</v>
      </c>
      <c r="D1749" s="4" t="str">
        <f>"钟珍梅"</f>
        <v>钟珍梅</v>
      </c>
      <c r="E1749" s="4" t="str">
        <f t="shared" si="85"/>
        <v>女</v>
      </c>
    </row>
    <row r="1750" spans="1:5" ht="30" customHeight="1">
      <c r="A1750" s="4">
        <v>1748</v>
      </c>
      <c r="B1750" s="4" t="str">
        <f>"39712022060516322790277"</f>
        <v>39712022060516322790277</v>
      </c>
      <c r="C1750" s="4" t="s">
        <v>25</v>
      </c>
      <c r="D1750" s="4" t="str">
        <f>"李亚雪"</f>
        <v>李亚雪</v>
      </c>
      <c r="E1750" s="4" t="str">
        <f t="shared" si="85"/>
        <v>女</v>
      </c>
    </row>
    <row r="1751" spans="1:5" ht="30" customHeight="1">
      <c r="A1751" s="4">
        <v>1749</v>
      </c>
      <c r="B1751" s="4" t="str">
        <f>"39712022060516331290281"</f>
        <v>39712022060516331290281</v>
      </c>
      <c r="C1751" s="4" t="s">
        <v>25</v>
      </c>
      <c r="D1751" s="4" t="str">
        <f>"柳美娟"</f>
        <v>柳美娟</v>
      </c>
      <c r="E1751" s="4" t="str">
        <f t="shared" si="85"/>
        <v>女</v>
      </c>
    </row>
    <row r="1752" spans="1:5" ht="30" customHeight="1">
      <c r="A1752" s="4">
        <v>1750</v>
      </c>
      <c r="B1752" s="4" t="str">
        <f>"39712022060516452390302"</f>
        <v>39712022060516452390302</v>
      </c>
      <c r="C1752" s="4" t="s">
        <v>25</v>
      </c>
      <c r="D1752" s="4" t="str">
        <f>"魏安琪"</f>
        <v>魏安琪</v>
      </c>
      <c r="E1752" s="4" t="str">
        <f t="shared" si="85"/>
        <v>女</v>
      </c>
    </row>
    <row r="1753" spans="1:5" ht="30" customHeight="1">
      <c r="A1753" s="4">
        <v>1751</v>
      </c>
      <c r="B1753" s="4" t="str">
        <f>"39712022060516454390304"</f>
        <v>39712022060516454390304</v>
      </c>
      <c r="C1753" s="4" t="s">
        <v>25</v>
      </c>
      <c r="D1753" s="4" t="str">
        <f>"吴聪"</f>
        <v>吴聪</v>
      </c>
      <c r="E1753" s="4" t="str">
        <f t="shared" si="85"/>
        <v>女</v>
      </c>
    </row>
    <row r="1754" spans="1:5" ht="30" customHeight="1">
      <c r="A1754" s="4">
        <v>1752</v>
      </c>
      <c r="B1754" s="4" t="str">
        <f>"39712022060517042590336"</f>
        <v>39712022060517042590336</v>
      </c>
      <c r="C1754" s="4" t="s">
        <v>25</v>
      </c>
      <c r="D1754" s="4" t="str">
        <f>"韦筱优"</f>
        <v>韦筱优</v>
      </c>
      <c r="E1754" s="4" t="str">
        <f t="shared" si="85"/>
        <v>女</v>
      </c>
    </row>
    <row r="1755" spans="1:5" ht="30" customHeight="1">
      <c r="A1755" s="4">
        <v>1753</v>
      </c>
      <c r="B1755" s="4" t="str">
        <f>"39712022060517162890355"</f>
        <v>39712022060517162890355</v>
      </c>
      <c r="C1755" s="4" t="s">
        <v>25</v>
      </c>
      <c r="D1755" s="4" t="str">
        <f>"王瑜"</f>
        <v>王瑜</v>
      </c>
      <c r="E1755" s="4" t="str">
        <f t="shared" si="85"/>
        <v>女</v>
      </c>
    </row>
    <row r="1756" spans="1:5" ht="30" customHeight="1">
      <c r="A1756" s="4">
        <v>1754</v>
      </c>
      <c r="B1756" s="4" t="str">
        <f>"39712022060517321690381"</f>
        <v>39712022060517321690381</v>
      </c>
      <c r="C1756" s="4" t="s">
        <v>25</v>
      </c>
      <c r="D1756" s="4" t="str">
        <f>"云天姿"</f>
        <v>云天姿</v>
      </c>
      <c r="E1756" s="4" t="str">
        <f t="shared" si="85"/>
        <v>女</v>
      </c>
    </row>
    <row r="1757" spans="1:5" ht="30" customHeight="1">
      <c r="A1757" s="4">
        <v>1755</v>
      </c>
      <c r="B1757" s="4" t="str">
        <f>"39712022060518030690417"</f>
        <v>39712022060518030690417</v>
      </c>
      <c r="C1757" s="4" t="s">
        <v>25</v>
      </c>
      <c r="D1757" s="4" t="str">
        <f>"王琼丁"</f>
        <v>王琼丁</v>
      </c>
      <c r="E1757" s="4" t="str">
        <f t="shared" si="85"/>
        <v>女</v>
      </c>
    </row>
    <row r="1758" spans="1:5" ht="30" customHeight="1">
      <c r="A1758" s="4">
        <v>1756</v>
      </c>
      <c r="B1758" s="4" t="str">
        <f>"39712022060518094890429"</f>
        <v>39712022060518094890429</v>
      </c>
      <c r="C1758" s="4" t="s">
        <v>25</v>
      </c>
      <c r="D1758" s="4" t="str">
        <f>"符裕珍"</f>
        <v>符裕珍</v>
      </c>
      <c r="E1758" s="4" t="str">
        <f t="shared" si="85"/>
        <v>女</v>
      </c>
    </row>
    <row r="1759" spans="1:5" ht="30" customHeight="1">
      <c r="A1759" s="4">
        <v>1757</v>
      </c>
      <c r="B1759" s="4" t="str">
        <f>"39712022060518111390431"</f>
        <v>39712022060518111390431</v>
      </c>
      <c r="C1759" s="4" t="s">
        <v>25</v>
      </c>
      <c r="D1759" s="4" t="str">
        <f>"董小爱"</f>
        <v>董小爱</v>
      </c>
      <c r="E1759" s="4" t="str">
        <f t="shared" si="85"/>
        <v>女</v>
      </c>
    </row>
    <row r="1760" spans="1:5" ht="30" customHeight="1">
      <c r="A1760" s="4">
        <v>1758</v>
      </c>
      <c r="B1760" s="4" t="str">
        <f>"39712022060518134290434"</f>
        <v>39712022060518134290434</v>
      </c>
      <c r="C1760" s="4" t="s">
        <v>25</v>
      </c>
      <c r="D1760" s="4" t="str">
        <f>"唐小杏"</f>
        <v>唐小杏</v>
      </c>
      <c r="E1760" s="4" t="str">
        <f t="shared" si="85"/>
        <v>女</v>
      </c>
    </row>
    <row r="1761" spans="1:5" ht="30" customHeight="1">
      <c r="A1761" s="4">
        <v>1759</v>
      </c>
      <c r="B1761" s="4" t="str">
        <f>"39712022060518190790443"</f>
        <v>39712022060518190790443</v>
      </c>
      <c r="C1761" s="4" t="s">
        <v>25</v>
      </c>
      <c r="D1761" s="4" t="str">
        <f>"周小霞"</f>
        <v>周小霞</v>
      </c>
      <c r="E1761" s="4" t="str">
        <f t="shared" si="85"/>
        <v>女</v>
      </c>
    </row>
    <row r="1762" spans="1:5" ht="30" customHeight="1">
      <c r="A1762" s="4">
        <v>1760</v>
      </c>
      <c r="B1762" s="4" t="str">
        <f>"39712022060518255290451"</f>
        <v>39712022060518255290451</v>
      </c>
      <c r="C1762" s="4" t="s">
        <v>25</v>
      </c>
      <c r="D1762" s="4" t="str">
        <f>"杨全业"</f>
        <v>杨全业</v>
      </c>
      <c r="E1762" s="4" t="str">
        <f>"男"</f>
        <v>男</v>
      </c>
    </row>
    <row r="1763" spans="1:5" ht="30" customHeight="1">
      <c r="A1763" s="4">
        <v>1761</v>
      </c>
      <c r="B1763" s="4" t="str">
        <f>"39712022060519550990557"</f>
        <v>39712022060519550990557</v>
      </c>
      <c r="C1763" s="4" t="s">
        <v>25</v>
      </c>
      <c r="D1763" s="4" t="str">
        <f>"潘紫乔"</f>
        <v>潘紫乔</v>
      </c>
      <c r="E1763" s="4" t="str">
        <f aca="true" t="shared" si="86" ref="E1763:E1777">"女"</f>
        <v>女</v>
      </c>
    </row>
    <row r="1764" spans="1:5" ht="30" customHeight="1">
      <c r="A1764" s="4">
        <v>1762</v>
      </c>
      <c r="B1764" s="4" t="str">
        <f>"39712022060519591090564"</f>
        <v>39712022060519591090564</v>
      </c>
      <c r="C1764" s="4" t="s">
        <v>25</v>
      </c>
      <c r="D1764" s="4" t="str">
        <f>"符少巧"</f>
        <v>符少巧</v>
      </c>
      <c r="E1764" s="4" t="str">
        <f t="shared" si="86"/>
        <v>女</v>
      </c>
    </row>
    <row r="1765" spans="1:5" ht="30" customHeight="1">
      <c r="A1765" s="4">
        <v>1763</v>
      </c>
      <c r="B1765" s="4" t="str">
        <f>"39712022060520091190574"</f>
        <v>39712022060520091190574</v>
      </c>
      <c r="C1765" s="4" t="s">
        <v>25</v>
      </c>
      <c r="D1765" s="4" t="str">
        <f>"谭春旦"</f>
        <v>谭春旦</v>
      </c>
      <c r="E1765" s="4" t="str">
        <f t="shared" si="86"/>
        <v>女</v>
      </c>
    </row>
    <row r="1766" spans="1:5" ht="30" customHeight="1">
      <c r="A1766" s="4">
        <v>1764</v>
      </c>
      <c r="B1766" s="4" t="str">
        <f>"39712022060520294390609"</f>
        <v>39712022060520294390609</v>
      </c>
      <c r="C1766" s="4" t="s">
        <v>25</v>
      </c>
      <c r="D1766" s="4" t="str">
        <f>"李艳会"</f>
        <v>李艳会</v>
      </c>
      <c r="E1766" s="4" t="str">
        <f t="shared" si="86"/>
        <v>女</v>
      </c>
    </row>
    <row r="1767" spans="1:5" ht="30" customHeight="1">
      <c r="A1767" s="4">
        <v>1765</v>
      </c>
      <c r="B1767" s="4" t="str">
        <f>"39712022060520553290638"</f>
        <v>39712022060520553290638</v>
      </c>
      <c r="C1767" s="4" t="s">
        <v>25</v>
      </c>
      <c r="D1767" s="4" t="str">
        <f>"王静宝"</f>
        <v>王静宝</v>
      </c>
      <c r="E1767" s="4" t="str">
        <f t="shared" si="86"/>
        <v>女</v>
      </c>
    </row>
    <row r="1768" spans="1:5" ht="30" customHeight="1">
      <c r="A1768" s="4">
        <v>1766</v>
      </c>
      <c r="B1768" s="4" t="str">
        <f>"39712022060520561390641"</f>
        <v>39712022060520561390641</v>
      </c>
      <c r="C1768" s="4" t="s">
        <v>25</v>
      </c>
      <c r="D1768" s="4" t="str">
        <f>"韩茜"</f>
        <v>韩茜</v>
      </c>
      <c r="E1768" s="4" t="str">
        <f t="shared" si="86"/>
        <v>女</v>
      </c>
    </row>
    <row r="1769" spans="1:5" ht="30" customHeight="1">
      <c r="A1769" s="4">
        <v>1767</v>
      </c>
      <c r="B1769" s="4" t="str">
        <f>"39712022060521094090656"</f>
        <v>39712022060521094090656</v>
      </c>
      <c r="C1769" s="4" t="s">
        <v>25</v>
      </c>
      <c r="D1769" s="4" t="str">
        <f>"王小娃"</f>
        <v>王小娃</v>
      </c>
      <c r="E1769" s="4" t="str">
        <f t="shared" si="86"/>
        <v>女</v>
      </c>
    </row>
    <row r="1770" spans="1:5" ht="30" customHeight="1">
      <c r="A1770" s="4">
        <v>1768</v>
      </c>
      <c r="B1770" s="4" t="str">
        <f>"39712022060521183390740"</f>
        <v>39712022060521183390740</v>
      </c>
      <c r="C1770" s="4" t="s">
        <v>25</v>
      </c>
      <c r="D1770" s="4" t="str">
        <f>"洪淑"</f>
        <v>洪淑</v>
      </c>
      <c r="E1770" s="4" t="str">
        <f t="shared" si="86"/>
        <v>女</v>
      </c>
    </row>
    <row r="1771" spans="1:5" ht="30" customHeight="1">
      <c r="A1771" s="4">
        <v>1769</v>
      </c>
      <c r="B1771" s="4" t="str">
        <f>"39712022060521312990766"</f>
        <v>39712022060521312990766</v>
      </c>
      <c r="C1771" s="4" t="s">
        <v>25</v>
      </c>
      <c r="D1771" s="4" t="str">
        <f>"蔡庆"</f>
        <v>蔡庆</v>
      </c>
      <c r="E1771" s="4" t="str">
        <f t="shared" si="86"/>
        <v>女</v>
      </c>
    </row>
    <row r="1772" spans="1:5" ht="30" customHeight="1">
      <c r="A1772" s="4">
        <v>1770</v>
      </c>
      <c r="B1772" s="4" t="str">
        <f>"39712022060521334190772"</f>
        <v>39712022060521334190772</v>
      </c>
      <c r="C1772" s="4" t="s">
        <v>25</v>
      </c>
      <c r="D1772" s="4" t="str">
        <f>"黎春花"</f>
        <v>黎春花</v>
      </c>
      <c r="E1772" s="4" t="str">
        <f t="shared" si="86"/>
        <v>女</v>
      </c>
    </row>
    <row r="1773" spans="1:5" ht="30" customHeight="1">
      <c r="A1773" s="4">
        <v>1771</v>
      </c>
      <c r="B1773" s="4" t="str">
        <f>"39712022060521380690779"</f>
        <v>39712022060521380690779</v>
      </c>
      <c r="C1773" s="4" t="s">
        <v>25</v>
      </c>
      <c r="D1773" s="4" t="str">
        <f>"刘丽娜"</f>
        <v>刘丽娜</v>
      </c>
      <c r="E1773" s="4" t="str">
        <f t="shared" si="86"/>
        <v>女</v>
      </c>
    </row>
    <row r="1774" spans="1:5" ht="30" customHeight="1">
      <c r="A1774" s="4">
        <v>1772</v>
      </c>
      <c r="B1774" s="4" t="str">
        <f>"39712022060521401090783"</f>
        <v>39712022060521401090783</v>
      </c>
      <c r="C1774" s="4" t="s">
        <v>25</v>
      </c>
      <c r="D1774" s="4" t="str">
        <f>"林彩美"</f>
        <v>林彩美</v>
      </c>
      <c r="E1774" s="4" t="str">
        <f t="shared" si="86"/>
        <v>女</v>
      </c>
    </row>
    <row r="1775" spans="1:5" ht="30" customHeight="1">
      <c r="A1775" s="4">
        <v>1773</v>
      </c>
      <c r="B1775" s="4" t="str">
        <f>"39712022060521464390795"</f>
        <v>39712022060521464390795</v>
      </c>
      <c r="C1775" s="4" t="s">
        <v>25</v>
      </c>
      <c r="D1775" s="4" t="str">
        <f>"伍显艺"</f>
        <v>伍显艺</v>
      </c>
      <c r="E1775" s="4" t="str">
        <f t="shared" si="86"/>
        <v>女</v>
      </c>
    </row>
    <row r="1776" spans="1:5" ht="30" customHeight="1">
      <c r="A1776" s="4">
        <v>1774</v>
      </c>
      <c r="B1776" s="4" t="str">
        <f>"39712022060521501790803"</f>
        <v>39712022060521501790803</v>
      </c>
      <c r="C1776" s="4" t="s">
        <v>25</v>
      </c>
      <c r="D1776" s="4" t="str">
        <f>"苏美玲"</f>
        <v>苏美玲</v>
      </c>
      <c r="E1776" s="4" t="str">
        <f t="shared" si="86"/>
        <v>女</v>
      </c>
    </row>
    <row r="1777" spans="1:5" ht="30" customHeight="1">
      <c r="A1777" s="4">
        <v>1775</v>
      </c>
      <c r="B1777" s="4" t="str">
        <f>"39712022060521550490809"</f>
        <v>39712022060521550490809</v>
      </c>
      <c r="C1777" s="4" t="s">
        <v>25</v>
      </c>
      <c r="D1777" s="4" t="str">
        <f>"冯艳青"</f>
        <v>冯艳青</v>
      </c>
      <c r="E1777" s="4" t="str">
        <f t="shared" si="86"/>
        <v>女</v>
      </c>
    </row>
    <row r="1778" spans="1:5" ht="30" customHeight="1">
      <c r="A1778" s="4">
        <v>1776</v>
      </c>
      <c r="B1778" s="4" t="str">
        <f>"39712022060521580290812"</f>
        <v>39712022060521580290812</v>
      </c>
      <c r="C1778" s="4" t="s">
        <v>25</v>
      </c>
      <c r="D1778" s="4" t="str">
        <f>"许森煜"</f>
        <v>许森煜</v>
      </c>
      <c r="E1778" s="4" t="str">
        <f>"男"</f>
        <v>男</v>
      </c>
    </row>
    <row r="1779" spans="1:5" ht="30" customHeight="1">
      <c r="A1779" s="4">
        <v>1777</v>
      </c>
      <c r="B1779" s="4" t="str">
        <f>"39712022060522133490831"</f>
        <v>39712022060522133490831</v>
      </c>
      <c r="C1779" s="4" t="s">
        <v>25</v>
      </c>
      <c r="D1779" s="4" t="str">
        <f>"冯晓敏"</f>
        <v>冯晓敏</v>
      </c>
      <c r="E1779" s="4" t="str">
        <f>"女"</f>
        <v>女</v>
      </c>
    </row>
    <row r="1780" spans="1:5" ht="30" customHeight="1">
      <c r="A1780" s="4">
        <v>1778</v>
      </c>
      <c r="B1780" s="4" t="str">
        <f>"39712022060522134390832"</f>
        <v>39712022060522134390832</v>
      </c>
      <c r="C1780" s="4" t="s">
        <v>25</v>
      </c>
      <c r="D1780" s="4" t="str">
        <f>"郑霞霞"</f>
        <v>郑霞霞</v>
      </c>
      <c r="E1780" s="4" t="str">
        <f>"女"</f>
        <v>女</v>
      </c>
    </row>
    <row r="1781" spans="1:5" ht="30" customHeight="1">
      <c r="A1781" s="4">
        <v>1779</v>
      </c>
      <c r="B1781" s="4" t="str">
        <f>"39712022060522142990833"</f>
        <v>39712022060522142990833</v>
      </c>
      <c r="C1781" s="4" t="s">
        <v>25</v>
      </c>
      <c r="D1781" s="4" t="str">
        <f>"周乃超"</f>
        <v>周乃超</v>
      </c>
      <c r="E1781" s="4" t="str">
        <f>"男"</f>
        <v>男</v>
      </c>
    </row>
    <row r="1782" spans="1:5" ht="30" customHeight="1">
      <c r="A1782" s="4">
        <v>1780</v>
      </c>
      <c r="B1782" s="4" t="str">
        <f>"39712022060522160690838"</f>
        <v>39712022060522160690838</v>
      </c>
      <c r="C1782" s="4" t="s">
        <v>25</v>
      </c>
      <c r="D1782" s="4" t="str">
        <f>"丁艳"</f>
        <v>丁艳</v>
      </c>
      <c r="E1782" s="4" t="str">
        <f aca="true" t="shared" si="87" ref="E1782:E1798">"女"</f>
        <v>女</v>
      </c>
    </row>
    <row r="1783" spans="1:5" ht="30" customHeight="1">
      <c r="A1783" s="4">
        <v>1781</v>
      </c>
      <c r="B1783" s="4" t="str">
        <f>"39712022060522191990840"</f>
        <v>39712022060522191990840</v>
      </c>
      <c r="C1783" s="4" t="s">
        <v>25</v>
      </c>
      <c r="D1783" s="4" t="str">
        <f>"冯馨娴"</f>
        <v>冯馨娴</v>
      </c>
      <c r="E1783" s="4" t="str">
        <f t="shared" si="87"/>
        <v>女</v>
      </c>
    </row>
    <row r="1784" spans="1:5" ht="30" customHeight="1">
      <c r="A1784" s="4">
        <v>1782</v>
      </c>
      <c r="B1784" s="4" t="str">
        <f>"39712022060522201090842"</f>
        <v>39712022060522201090842</v>
      </c>
      <c r="C1784" s="4" t="s">
        <v>25</v>
      </c>
      <c r="D1784" s="4" t="str">
        <f>"周姣"</f>
        <v>周姣</v>
      </c>
      <c r="E1784" s="4" t="str">
        <f t="shared" si="87"/>
        <v>女</v>
      </c>
    </row>
    <row r="1785" spans="1:5" ht="30" customHeight="1">
      <c r="A1785" s="4">
        <v>1783</v>
      </c>
      <c r="B1785" s="4" t="str">
        <f>"39712022060522211190848"</f>
        <v>39712022060522211190848</v>
      </c>
      <c r="C1785" s="4" t="s">
        <v>25</v>
      </c>
      <c r="D1785" s="4" t="str">
        <f>"纪瑞姣"</f>
        <v>纪瑞姣</v>
      </c>
      <c r="E1785" s="4" t="str">
        <f t="shared" si="87"/>
        <v>女</v>
      </c>
    </row>
    <row r="1786" spans="1:5" ht="30" customHeight="1">
      <c r="A1786" s="4">
        <v>1784</v>
      </c>
      <c r="B1786" s="4" t="str">
        <f>"39712022060522252890856"</f>
        <v>39712022060522252890856</v>
      </c>
      <c r="C1786" s="4" t="s">
        <v>25</v>
      </c>
      <c r="D1786" s="4" t="str">
        <f>"周丽旗"</f>
        <v>周丽旗</v>
      </c>
      <c r="E1786" s="4" t="str">
        <f t="shared" si="87"/>
        <v>女</v>
      </c>
    </row>
    <row r="1787" spans="1:5" ht="30" customHeight="1">
      <c r="A1787" s="4">
        <v>1785</v>
      </c>
      <c r="B1787" s="4" t="str">
        <f>"39712022060522320090868"</f>
        <v>39712022060522320090868</v>
      </c>
      <c r="C1787" s="4" t="s">
        <v>25</v>
      </c>
      <c r="D1787" s="4" t="str">
        <f>"王晶"</f>
        <v>王晶</v>
      </c>
      <c r="E1787" s="4" t="str">
        <f t="shared" si="87"/>
        <v>女</v>
      </c>
    </row>
    <row r="1788" spans="1:5" ht="30" customHeight="1">
      <c r="A1788" s="4">
        <v>1786</v>
      </c>
      <c r="B1788" s="4" t="str">
        <f>"39712022060522351090874"</f>
        <v>39712022060522351090874</v>
      </c>
      <c r="C1788" s="4" t="s">
        <v>25</v>
      </c>
      <c r="D1788" s="4" t="str">
        <f>"钟经美"</f>
        <v>钟经美</v>
      </c>
      <c r="E1788" s="4" t="str">
        <f t="shared" si="87"/>
        <v>女</v>
      </c>
    </row>
    <row r="1789" spans="1:5" ht="30" customHeight="1">
      <c r="A1789" s="4">
        <v>1787</v>
      </c>
      <c r="B1789" s="4" t="str">
        <f>"39712022060522365390879"</f>
        <v>39712022060522365390879</v>
      </c>
      <c r="C1789" s="4" t="s">
        <v>25</v>
      </c>
      <c r="D1789" s="4" t="str">
        <f>"苏妙铃"</f>
        <v>苏妙铃</v>
      </c>
      <c r="E1789" s="4" t="str">
        <f t="shared" si="87"/>
        <v>女</v>
      </c>
    </row>
    <row r="1790" spans="1:5" ht="30" customHeight="1">
      <c r="A1790" s="4">
        <v>1788</v>
      </c>
      <c r="B1790" s="4" t="str">
        <f>"39712022060522422090890"</f>
        <v>39712022060522422090890</v>
      </c>
      <c r="C1790" s="4" t="s">
        <v>25</v>
      </c>
      <c r="D1790" s="4" t="str">
        <f>"郑音"</f>
        <v>郑音</v>
      </c>
      <c r="E1790" s="4" t="str">
        <f t="shared" si="87"/>
        <v>女</v>
      </c>
    </row>
    <row r="1791" spans="1:5" ht="30" customHeight="1">
      <c r="A1791" s="4">
        <v>1789</v>
      </c>
      <c r="B1791" s="4" t="str">
        <f>"39712022060522432190892"</f>
        <v>39712022060522432190892</v>
      </c>
      <c r="C1791" s="4" t="s">
        <v>25</v>
      </c>
      <c r="D1791" s="4" t="str">
        <f>"黎福桃"</f>
        <v>黎福桃</v>
      </c>
      <c r="E1791" s="4" t="str">
        <f t="shared" si="87"/>
        <v>女</v>
      </c>
    </row>
    <row r="1792" spans="1:5" ht="30" customHeight="1">
      <c r="A1792" s="4">
        <v>1790</v>
      </c>
      <c r="B1792" s="4" t="str">
        <f>"39712022060522435290893"</f>
        <v>39712022060522435290893</v>
      </c>
      <c r="C1792" s="4" t="s">
        <v>25</v>
      </c>
      <c r="D1792" s="4" t="str">
        <f>"劳咪咪"</f>
        <v>劳咪咪</v>
      </c>
      <c r="E1792" s="4" t="str">
        <f t="shared" si="87"/>
        <v>女</v>
      </c>
    </row>
    <row r="1793" spans="1:5" ht="30" customHeight="1">
      <c r="A1793" s="4">
        <v>1791</v>
      </c>
      <c r="B1793" s="4" t="str">
        <f>"39712022060523011790915"</f>
        <v>39712022060523011790915</v>
      </c>
      <c r="C1793" s="4" t="s">
        <v>25</v>
      </c>
      <c r="D1793" s="4" t="str">
        <f>"王小妹"</f>
        <v>王小妹</v>
      </c>
      <c r="E1793" s="4" t="str">
        <f t="shared" si="87"/>
        <v>女</v>
      </c>
    </row>
    <row r="1794" spans="1:5" ht="30" customHeight="1">
      <c r="A1794" s="4">
        <v>1792</v>
      </c>
      <c r="B1794" s="4" t="str">
        <f>"39712022060523025590916"</f>
        <v>39712022060523025590916</v>
      </c>
      <c r="C1794" s="4" t="s">
        <v>25</v>
      </c>
      <c r="D1794" s="4" t="str">
        <f>"吉晓瑜"</f>
        <v>吉晓瑜</v>
      </c>
      <c r="E1794" s="4" t="str">
        <f t="shared" si="87"/>
        <v>女</v>
      </c>
    </row>
    <row r="1795" spans="1:5" ht="30" customHeight="1">
      <c r="A1795" s="4">
        <v>1793</v>
      </c>
      <c r="B1795" s="4" t="str">
        <f>"39712022060523082390925"</f>
        <v>39712022060523082390925</v>
      </c>
      <c r="C1795" s="4" t="s">
        <v>25</v>
      </c>
      <c r="D1795" s="4" t="str">
        <f>"陈海霞"</f>
        <v>陈海霞</v>
      </c>
      <c r="E1795" s="4" t="str">
        <f t="shared" si="87"/>
        <v>女</v>
      </c>
    </row>
    <row r="1796" spans="1:5" ht="30" customHeight="1">
      <c r="A1796" s="4">
        <v>1794</v>
      </c>
      <c r="B1796" s="4" t="str">
        <f>"39712022060523124790933"</f>
        <v>39712022060523124790933</v>
      </c>
      <c r="C1796" s="4" t="s">
        <v>25</v>
      </c>
      <c r="D1796" s="4" t="str">
        <f>"岳晗"</f>
        <v>岳晗</v>
      </c>
      <c r="E1796" s="4" t="str">
        <f t="shared" si="87"/>
        <v>女</v>
      </c>
    </row>
    <row r="1797" spans="1:5" ht="30" customHeight="1">
      <c r="A1797" s="4">
        <v>1795</v>
      </c>
      <c r="B1797" s="4" t="str">
        <f>"39712022060523341190956"</f>
        <v>39712022060523341190956</v>
      </c>
      <c r="C1797" s="4" t="s">
        <v>25</v>
      </c>
      <c r="D1797" s="4" t="str">
        <f>"黄晓"</f>
        <v>黄晓</v>
      </c>
      <c r="E1797" s="4" t="str">
        <f t="shared" si="87"/>
        <v>女</v>
      </c>
    </row>
    <row r="1798" spans="1:5" ht="30" customHeight="1">
      <c r="A1798" s="4">
        <v>1796</v>
      </c>
      <c r="B1798" s="4" t="str">
        <f>"39712022060523534390979"</f>
        <v>39712022060523534390979</v>
      </c>
      <c r="C1798" s="4" t="s">
        <v>25</v>
      </c>
      <c r="D1798" s="4" t="str">
        <f>"吴思颖"</f>
        <v>吴思颖</v>
      </c>
      <c r="E1798" s="4" t="str">
        <f t="shared" si="87"/>
        <v>女</v>
      </c>
    </row>
    <row r="1799" spans="1:5" ht="30" customHeight="1">
      <c r="A1799" s="4">
        <v>1797</v>
      </c>
      <c r="B1799" s="4" t="str">
        <f>"39712022060600464091002"</f>
        <v>39712022060600464091002</v>
      </c>
      <c r="C1799" s="4" t="s">
        <v>25</v>
      </c>
      <c r="D1799" s="4" t="str">
        <f>"郭易侨"</f>
        <v>郭易侨</v>
      </c>
      <c r="E1799" s="4" t="str">
        <f>"男"</f>
        <v>男</v>
      </c>
    </row>
    <row r="1800" spans="1:5" ht="30" customHeight="1">
      <c r="A1800" s="4">
        <v>1798</v>
      </c>
      <c r="B1800" s="4" t="str">
        <f>"39712022060600483391003"</f>
        <v>39712022060600483391003</v>
      </c>
      <c r="C1800" s="4" t="s">
        <v>25</v>
      </c>
      <c r="D1800" s="4" t="str">
        <f>"谢丽丽"</f>
        <v>谢丽丽</v>
      </c>
      <c r="E1800" s="4" t="str">
        <f aca="true" t="shared" si="88" ref="E1800:E1809">"女"</f>
        <v>女</v>
      </c>
    </row>
    <row r="1801" spans="1:5" ht="30" customHeight="1">
      <c r="A1801" s="4">
        <v>1799</v>
      </c>
      <c r="B1801" s="4" t="str">
        <f>"39712022060606310391031"</f>
        <v>39712022060606310391031</v>
      </c>
      <c r="C1801" s="4" t="s">
        <v>25</v>
      </c>
      <c r="D1801" s="4" t="str">
        <f>"肖丽梅"</f>
        <v>肖丽梅</v>
      </c>
      <c r="E1801" s="4" t="str">
        <f t="shared" si="88"/>
        <v>女</v>
      </c>
    </row>
    <row r="1802" spans="1:5" ht="30" customHeight="1">
      <c r="A1802" s="4">
        <v>1800</v>
      </c>
      <c r="B1802" s="4" t="str">
        <f>"39712022060606493691035"</f>
        <v>39712022060606493691035</v>
      </c>
      <c r="C1802" s="4" t="s">
        <v>25</v>
      </c>
      <c r="D1802" s="4" t="str">
        <f>"王黄新"</f>
        <v>王黄新</v>
      </c>
      <c r="E1802" s="4" t="str">
        <f t="shared" si="88"/>
        <v>女</v>
      </c>
    </row>
    <row r="1803" spans="1:5" ht="30" customHeight="1">
      <c r="A1803" s="4">
        <v>1801</v>
      </c>
      <c r="B1803" s="4" t="str">
        <f>"39712022060606552891036"</f>
        <v>39712022060606552891036</v>
      </c>
      <c r="C1803" s="4" t="s">
        <v>25</v>
      </c>
      <c r="D1803" s="4" t="str">
        <f>"吴小红"</f>
        <v>吴小红</v>
      </c>
      <c r="E1803" s="4" t="str">
        <f t="shared" si="88"/>
        <v>女</v>
      </c>
    </row>
    <row r="1804" spans="1:5" ht="30" customHeight="1">
      <c r="A1804" s="4">
        <v>1802</v>
      </c>
      <c r="B1804" s="4" t="str">
        <f>"39712022060607485891051"</f>
        <v>39712022060607485891051</v>
      </c>
      <c r="C1804" s="4" t="s">
        <v>25</v>
      </c>
      <c r="D1804" s="4" t="str">
        <f>"郑智方"</f>
        <v>郑智方</v>
      </c>
      <c r="E1804" s="4" t="str">
        <f t="shared" si="88"/>
        <v>女</v>
      </c>
    </row>
    <row r="1805" spans="1:5" ht="30" customHeight="1">
      <c r="A1805" s="4">
        <v>1803</v>
      </c>
      <c r="B1805" s="4" t="str">
        <f>"39712022060607535991055"</f>
        <v>39712022060607535991055</v>
      </c>
      <c r="C1805" s="4" t="s">
        <v>25</v>
      </c>
      <c r="D1805" s="4" t="str">
        <f>"冯苗"</f>
        <v>冯苗</v>
      </c>
      <c r="E1805" s="4" t="str">
        <f t="shared" si="88"/>
        <v>女</v>
      </c>
    </row>
    <row r="1806" spans="1:5" ht="30" customHeight="1">
      <c r="A1806" s="4">
        <v>1804</v>
      </c>
      <c r="B1806" s="4" t="str">
        <f>"39712022060608081291067"</f>
        <v>39712022060608081291067</v>
      </c>
      <c r="C1806" s="4" t="s">
        <v>25</v>
      </c>
      <c r="D1806" s="4" t="str">
        <f>"冯彩莲"</f>
        <v>冯彩莲</v>
      </c>
      <c r="E1806" s="4" t="str">
        <f t="shared" si="88"/>
        <v>女</v>
      </c>
    </row>
    <row r="1807" spans="1:5" ht="30" customHeight="1">
      <c r="A1807" s="4">
        <v>1805</v>
      </c>
      <c r="B1807" s="4" t="str">
        <f>"39712022060608194491089"</f>
        <v>39712022060608194491089</v>
      </c>
      <c r="C1807" s="4" t="s">
        <v>25</v>
      </c>
      <c r="D1807" s="4" t="str">
        <f>"胡肖颜"</f>
        <v>胡肖颜</v>
      </c>
      <c r="E1807" s="4" t="str">
        <f t="shared" si="88"/>
        <v>女</v>
      </c>
    </row>
    <row r="1808" spans="1:5" ht="30" customHeight="1">
      <c r="A1808" s="4">
        <v>1806</v>
      </c>
      <c r="B1808" s="4" t="str">
        <f>"39712022060608225891095"</f>
        <v>39712022060608225891095</v>
      </c>
      <c r="C1808" s="4" t="s">
        <v>25</v>
      </c>
      <c r="D1808" s="4" t="str">
        <f>"潘晓丹"</f>
        <v>潘晓丹</v>
      </c>
      <c r="E1808" s="4" t="str">
        <f t="shared" si="88"/>
        <v>女</v>
      </c>
    </row>
    <row r="1809" spans="1:5" ht="30" customHeight="1">
      <c r="A1809" s="4">
        <v>1807</v>
      </c>
      <c r="B1809" s="4" t="str">
        <f>"39712022060608332691108"</f>
        <v>39712022060608332691108</v>
      </c>
      <c r="C1809" s="4" t="s">
        <v>25</v>
      </c>
      <c r="D1809" s="4" t="str">
        <f>"邓华清"</f>
        <v>邓华清</v>
      </c>
      <c r="E1809" s="4" t="str">
        <f t="shared" si="88"/>
        <v>女</v>
      </c>
    </row>
    <row r="1810" spans="1:5" ht="30" customHeight="1">
      <c r="A1810" s="4">
        <v>1808</v>
      </c>
      <c r="B1810" s="4" t="str">
        <f>"39712022060608341691109"</f>
        <v>39712022060608341691109</v>
      </c>
      <c r="C1810" s="4" t="s">
        <v>25</v>
      </c>
      <c r="D1810" s="4" t="str">
        <f>"林枫"</f>
        <v>林枫</v>
      </c>
      <c r="E1810" s="4" t="str">
        <f>"男"</f>
        <v>男</v>
      </c>
    </row>
    <row r="1811" spans="1:5" ht="30" customHeight="1">
      <c r="A1811" s="4">
        <v>1809</v>
      </c>
      <c r="B1811" s="4" t="str">
        <f>"39712022060608354991113"</f>
        <v>39712022060608354991113</v>
      </c>
      <c r="C1811" s="4" t="s">
        <v>25</v>
      </c>
      <c r="D1811" s="4" t="str">
        <f>"高秀皇"</f>
        <v>高秀皇</v>
      </c>
      <c r="E1811" s="4" t="str">
        <f>"女"</f>
        <v>女</v>
      </c>
    </row>
    <row r="1812" spans="1:5" ht="30" customHeight="1">
      <c r="A1812" s="4">
        <v>1810</v>
      </c>
      <c r="B1812" s="4" t="str">
        <f>"39712022060608455191139"</f>
        <v>39712022060608455191139</v>
      </c>
      <c r="C1812" s="4" t="s">
        <v>25</v>
      </c>
      <c r="D1812" s="4" t="str">
        <f>"杨紫环"</f>
        <v>杨紫环</v>
      </c>
      <c r="E1812" s="4" t="str">
        <f>"女"</f>
        <v>女</v>
      </c>
    </row>
    <row r="1813" spans="1:5" ht="30" customHeight="1">
      <c r="A1813" s="4">
        <v>1811</v>
      </c>
      <c r="B1813" s="4" t="str">
        <f>"39712022060608455291140"</f>
        <v>39712022060608455291140</v>
      </c>
      <c r="C1813" s="4" t="s">
        <v>25</v>
      </c>
      <c r="D1813" s="4" t="str">
        <f>"吴挺川"</f>
        <v>吴挺川</v>
      </c>
      <c r="E1813" s="4" t="str">
        <f>"男"</f>
        <v>男</v>
      </c>
    </row>
    <row r="1814" spans="1:5" ht="30" customHeight="1">
      <c r="A1814" s="4">
        <v>1812</v>
      </c>
      <c r="B1814" s="4" t="str">
        <f>"39712022060609043091446"</f>
        <v>39712022060609043091446</v>
      </c>
      <c r="C1814" s="4" t="s">
        <v>25</v>
      </c>
      <c r="D1814" s="4" t="str">
        <f>"林惠"</f>
        <v>林惠</v>
      </c>
      <c r="E1814" s="4" t="str">
        <f aca="true" t="shared" si="89" ref="E1814:E1857">"女"</f>
        <v>女</v>
      </c>
    </row>
    <row r="1815" spans="1:5" ht="30" customHeight="1">
      <c r="A1815" s="4">
        <v>1813</v>
      </c>
      <c r="B1815" s="4" t="str">
        <f>"39712022060609045891469"</f>
        <v>39712022060609045891469</v>
      </c>
      <c r="C1815" s="4" t="s">
        <v>25</v>
      </c>
      <c r="D1815" s="4" t="str">
        <f>"邢江红"</f>
        <v>邢江红</v>
      </c>
      <c r="E1815" s="4" t="str">
        <f t="shared" si="89"/>
        <v>女</v>
      </c>
    </row>
    <row r="1816" spans="1:5" ht="30" customHeight="1">
      <c r="A1816" s="4">
        <v>1814</v>
      </c>
      <c r="B1816" s="4" t="str">
        <f>"39712022060609080391613"</f>
        <v>39712022060609080391613</v>
      </c>
      <c r="C1816" s="4" t="s">
        <v>25</v>
      </c>
      <c r="D1816" s="4" t="str">
        <f>"陈川蕊"</f>
        <v>陈川蕊</v>
      </c>
      <c r="E1816" s="4" t="str">
        <f t="shared" si="89"/>
        <v>女</v>
      </c>
    </row>
    <row r="1817" spans="1:5" ht="30" customHeight="1">
      <c r="A1817" s="4">
        <v>1815</v>
      </c>
      <c r="B1817" s="4" t="str">
        <f>"39712022060609151191879"</f>
        <v>39712022060609151191879</v>
      </c>
      <c r="C1817" s="4" t="s">
        <v>25</v>
      </c>
      <c r="D1817" s="4" t="str">
        <f>"冯文蔚"</f>
        <v>冯文蔚</v>
      </c>
      <c r="E1817" s="4" t="str">
        <f t="shared" si="89"/>
        <v>女</v>
      </c>
    </row>
    <row r="1818" spans="1:5" ht="30" customHeight="1">
      <c r="A1818" s="4">
        <v>1816</v>
      </c>
      <c r="B1818" s="4" t="str">
        <f>"39712022060609422592692"</f>
        <v>39712022060609422592692</v>
      </c>
      <c r="C1818" s="4" t="s">
        <v>25</v>
      </c>
      <c r="D1818" s="4" t="str">
        <f>"王丹"</f>
        <v>王丹</v>
      </c>
      <c r="E1818" s="4" t="str">
        <f t="shared" si="89"/>
        <v>女</v>
      </c>
    </row>
    <row r="1819" spans="1:5" ht="30" customHeight="1">
      <c r="A1819" s="4">
        <v>1817</v>
      </c>
      <c r="B1819" s="4" t="str">
        <f>"39712022060609431592722"</f>
        <v>39712022060609431592722</v>
      </c>
      <c r="C1819" s="4" t="s">
        <v>25</v>
      </c>
      <c r="D1819" s="4" t="str">
        <f>"刘文"</f>
        <v>刘文</v>
      </c>
      <c r="E1819" s="4" t="str">
        <f t="shared" si="89"/>
        <v>女</v>
      </c>
    </row>
    <row r="1820" spans="1:5" ht="30" customHeight="1">
      <c r="A1820" s="4">
        <v>1818</v>
      </c>
      <c r="B1820" s="4" t="str">
        <f>"39712022060609433092731"</f>
        <v>39712022060609433092731</v>
      </c>
      <c r="C1820" s="4" t="s">
        <v>25</v>
      </c>
      <c r="D1820" s="4" t="str">
        <f>"陆海娟"</f>
        <v>陆海娟</v>
      </c>
      <c r="E1820" s="4" t="str">
        <f t="shared" si="89"/>
        <v>女</v>
      </c>
    </row>
    <row r="1821" spans="1:5" ht="30" customHeight="1">
      <c r="A1821" s="4">
        <v>1819</v>
      </c>
      <c r="B1821" s="4" t="str">
        <f>"39712022060609503192915"</f>
        <v>39712022060609503192915</v>
      </c>
      <c r="C1821" s="4" t="s">
        <v>25</v>
      </c>
      <c r="D1821" s="4" t="str">
        <f>"陈玲"</f>
        <v>陈玲</v>
      </c>
      <c r="E1821" s="4" t="str">
        <f t="shared" si="89"/>
        <v>女</v>
      </c>
    </row>
    <row r="1822" spans="1:5" ht="30" customHeight="1">
      <c r="A1822" s="4">
        <v>1820</v>
      </c>
      <c r="B1822" s="4" t="str">
        <f>"39712022060609575993107"</f>
        <v>39712022060609575993107</v>
      </c>
      <c r="C1822" s="4" t="s">
        <v>25</v>
      </c>
      <c r="D1822" s="4" t="str">
        <f>"王丽燕"</f>
        <v>王丽燕</v>
      </c>
      <c r="E1822" s="4" t="str">
        <f t="shared" si="89"/>
        <v>女</v>
      </c>
    </row>
    <row r="1823" spans="1:5" ht="30" customHeight="1">
      <c r="A1823" s="4">
        <v>1821</v>
      </c>
      <c r="B1823" s="4" t="str">
        <f>"39712022060610025493237"</f>
        <v>39712022060610025493237</v>
      </c>
      <c r="C1823" s="4" t="s">
        <v>25</v>
      </c>
      <c r="D1823" s="4" t="str">
        <f>"李秀波"</f>
        <v>李秀波</v>
      </c>
      <c r="E1823" s="4" t="str">
        <f t="shared" si="89"/>
        <v>女</v>
      </c>
    </row>
    <row r="1824" spans="1:5" ht="30" customHeight="1">
      <c r="A1824" s="4">
        <v>1822</v>
      </c>
      <c r="B1824" s="4" t="str">
        <f>"39712022060610080493354"</f>
        <v>39712022060610080493354</v>
      </c>
      <c r="C1824" s="4" t="s">
        <v>25</v>
      </c>
      <c r="D1824" s="4" t="str">
        <f>"刘文还"</f>
        <v>刘文还</v>
      </c>
      <c r="E1824" s="4" t="str">
        <f t="shared" si="89"/>
        <v>女</v>
      </c>
    </row>
    <row r="1825" spans="1:5" ht="30" customHeight="1">
      <c r="A1825" s="4">
        <v>1823</v>
      </c>
      <c r="B1825" s="4" t="str">
        <f>"39712022060610100793406"</f>
        <v>39712022060610100793406</v>
      </c>
      <c r="C1825" s="4" t="s">
        <v>25</v>
      </c>
      <c r="D1825" s="4" t="str">
        <f>"林琼英"</f>
        <v>林琼英</v>
      </c>
      <c r="E1825" s="4" t="str">
        <f t="shared" si="89"/>
        <v>女</v>
      </c>
    </row>
    <row r="1826" spans="1:5" ht="30" customHeight="1">
      <c r="A1826" s="4">
        <v>1824</v>
      </c>
      <c r="B1826" s="4" t="str">
        <f>"39712022060610140193495"</f>
        <v>39712022060610140193495</v>
      </c>
      <c r="C1826" s="4" t="s">
        <v>25</v>
      </c>
      <c r="D1826" s="4" t="str">
        <f>"符怡伦"</f>
        <v>符怡伦</v>
      </c>
      <c r="E1826" s="4" t="str">
        <f t="shared" si="89"/>
        <v>女</v>
      </c>
    </row>
    <row r="1827" spans="1:5" ht="30" customHeight="1">
      <c r="A1827" s="4">
        <v>1825</v>
      </c>
      <c r="B1827" s="4" t="str">
        <f>"39712022060610160493545"</f>
        <v>39712022060610160493545</v>
      </c>
      <c r="C1827" s="4" t="s">
        <v>25</v>
      </c>
      <c r="D1827" s="4" t="str">
        <f>"王基娇"</f>
        <v>王基娇</v>
      </c>
      <c r="E1827" s="4" t="str">
        <f t="shared" si="89"/>
        <v>女</v>
      </c>
    </row>
    <row r="1828" spans="1:5" ht="30" customHeight="1">
      <c r="A1828" s="4">
        <v>1826</v>
      </c>
      <c r="B1828" s="4" t="str">
        <f>"39712022060610222693721"</f>
        <v>39712022060610222693721</v>
      </c>
      <c r="C1828" s="4" t="s">
        <v>25</v>
      </c>
      <c r="D1828" s="4" t="str">
        <f>"王玉"</f>
        <v>王玉</v>
      </c>
      <c r="E1828" s="4" t="str">
        <f t="shared" si="89"/>
        <v>女</v>
      </c>
    </row>
    <row r="1829" spans="1:5" ht="30" customHeight="1">
      <c r="A1829" s="4">
        <v>1827</v>
      </c>
      <c r="B1829" s="4" t="str">
        <f>"39712022060610224493729"</f>
        <v>39712022060610224493729</v>
      </c>
      <c r="C1829" s="4" t="s">
        <v>25</v>
      </c>
      <c r="D1829" s="4" t="str">
        <f>"张紫梅"</f>
        <v>张紫梅</v>
      </c>
      <c r="E1829" s="4" t="str">
        <f t="shared" si="89"/>
        <v>女</v>
      </c>
    </row>
    <row r="1830" spans="1:5" ht="30" customHeight="1">
      <c r="A1830" s="4">
        <v>1828</v>
      </c>
      <c r="B1830" s="4" t="str">
        <f>"39712022060610240893756"</f>
        <v>39712022060610240893756</v>
      </c>
      <c r="C1830" s="4" t="s">
        <v>25</v>
      </c>
      <c r="D1830" s="4" t="str">
        <f>"徐莉莉"</f>
        <v>徐莉莉</v>
      </c>
      <c r="E1830" s="4" t="str">
        <f t="shared" si="89"/>
        <v>女</v>
      </c>
    </row>
    <row r="1831" spans="1:5" ht="30" customHeight="1">
      <c r="A1831" s="4">
        <v>1829</v>
      </c>
      <c r="B1831" s="4" t="str">
        <f>"39712022060610262093815"</f>
        <v>39712022060610262093815</v>
      </c>
      <c r="C1831" s="4" t="s">
        <v>25</v>
      </c>
      <c r="D1831" s="4" t="str">
        <f>"林萍玉"</f>
        <v>林萍玉</v>
      </c>
      <c r="E1831" s="4" t="str">
        <f t="shared" si="89"/>
        <v>女</v>
      </c>
    </row>
    <row r="1832" spans="1:5" ht="30" customHeight="1">
      <c r="A1832" s="4">
        <v>1830</v>
      </c>
      <c r="B1832" s="4" t="str">
        <f>"39712022060610270493837"</f>
        <v>39712022060610270493837</v>
      </c>
      <c r="C1832" s="4" t="s">
        <v>25</v>
      </c>
      <c r="D1832" s="4" t="str">
        <f>"黄治英"</f>
        <v>黄治英</v>
      </c>
      <c r="E1832" s="4" t="str">
        <f t="shared" si="89"/>
        <v>女</v>
      </c>
    </row>
    <row r="1833" spans="1:5" ht="30" customHeight="1">
      <c r="A1833" s="4">
        <v>1831</v>
      </c>
      <c r="B1833" s="4" t="str">
        <f>"39712022060610320093982"</f>
        <v>39712022060610320093982</v>
      </c>
      <c r="C1833" s="4" t="s">
        <v>25</v>
      </c>
      <c r="D1833" s="4" t="str">
        <f>"孟丹丹"</f>
        <v>孟丹丹</v>
      </c>
      <c r="E1833" s="4" t="str">
        <f t="shared" si="89"/>
        <v>女</v>
      </c>
    </row>
    <row r="1834" spans="1:5" ht="30" customHeight="1">
      <c r="A1834" s="4">
        <v>1832</v>
      </c>
      <c r="B1834" s="4" t="str">
        <f>"39712022060610323293998"</f>
        <v>39712022060610323293998</v>
      </c>
      <c r="C1834" s="4" t="s">
        <v>25</v>
      </c>
      <c r="D1834" s="4" t="str">
        <f>"韩芳"</f>
        <v>韩芳</v>
      </c>
      <c r="E1834" s="4" t="str">
        <f t="shared" si="89"/>
        <v>女</v>
      </c>
    </row>
    <row r="1835" spans="1:5" ht="30" customHeight="1">
      <c r="A1835" s="4">
        <v>1833</v>
      </c>
      <c r="B1835" s="4" t="str">
        <f>"39712022060610350694052"</f>
        <v>39712022060610350694052</v>
      </c>
      <c r="C1835" s="4" t="s">
        <v>25</v>
      </c>
      <c r="D1835" s="4" t="str">
        <f>"周尹茹"</f>
        <v>周尹茹</v>
      </c>
      <c r="E1835" s="4" t="str">
        <f t="shared" si="89"/>
        <v>女</v>
      </c>
    </row>
    <row r="1836" spans="1:5" ht="30" customHeight="1">
      <c r="A1836" s="4">
        <v>1834</v>
      </c>
      <c r="B1836" s="4" t="str">
        <f>"39712022060610492994370"</f>
        <v>39712022060610492994370</v>
      </c>
      <c r="C1836" s="4" t="s">
        <v>25</v>
      </c>
      <c r="D1836" s="4" t="str">
        <f>"吴慧"</f>
        <v>吴慧</v>
      </c>
      <c r="E1836" s="4" t="str">
        <f t="shared" si="89"/>
        <v>女</v>
      </c>
    </row>
    <row r="1837" spans="1:5" ht="30" customHeight="1">
      <c r="A1837" s="4">
        <v>1835</v>
      </c>
      <c r="B1837" s="4" t="str">
        <f>"39712022060610513794416"</f>
        <v>39712022060610513794416</v>
      </c>
      <c r="C1837" s="4" t="s">
        <v>25</v>
      </c>
      <c r="D1837" s="4" t="str">
        <f>"于文娟"</f>
        <v>于文娟</v>
      </c>
      <c r="E1837" s="4" t="str">
        <f t="shared" si="89"/>
        <v>女</v>
      </c>
    </row>
    <row r="1838" spans="1:5" ht="30" customHeight="1">
      <c r="A1838" s="4">
        <v>1836</v>
      </c>
      <c r="B1838" s="4" t="str">
        <f>"39712022060610522894436"</f>
        <v>39712022060610522894436</v>
      </c>
      <c r="C1838" s="4" t="s">
        <v>25</v>
      </c>
      <c r="D1838" s="4" t="str">
        <f>"陈琼娟"</f>
        <v>陈琼娟</v>
      </c>
      <c r="E1838" s="4" t="str">
        <f t="shared" si="89"/>
        <v>女</v>
      </c>
    </row>
    <row r="1839" spans="1:5" ht="30" customHeight="1">
      <c r="A1839" s="4">
        <v>1837</v>
      </c>
      <c r="B1839" s="4" t="str">
        <f>"39712022060610543394480"</f>
        <v>39712022060610543394480</v>
      </c>
      <c r="C1839" s="4" t="s">
        <v>25</v>
      </c>
      <c r="D1839" s="4" t="str">
        <f>"符丽叶"</f>
        <v>符丽叶</v>
      </c>
      <c r="E1839" s="4" t="str">
        <f t="shared" si="89"/>
        <v>女</v>
      </c>
    </row>
    <row r="1840" spans="1:5" ht="30" customHeight="1">
      <c r="A1840" s="4">
        <v>1838</v>
      </c>
      <c r="B1840" s="4" t="str">
        <f>"39712022060610584494579"</f>
        <v>39712022060610584494579</v>
      </c>
      <c r="C1840" s="4" t="s">
        <v>25</v>
      </c>
      <c r="D1840" s="4" t="str">
        <f>"符诗琪"</f>
        <v>符诗琪</v>
      </c>
      <c r="E1840" s="4" t="str">
        <f t="shared" si="89"/>
        <v>女</v>
      </c>
    </row>
    <row r="1841" spans="1:5" ht="30" customHeight="1">
      <c r="A1841" s="4">
        <v>1839</v>
      </c>
      <c r="B1841" s="4" t="str">
        <f>"39712022060611094194796"</f>
        <v>39712022060611094194796</v>
      </c>
      <c r="C1841" s="4" t="s">
        <v>25</v>
      </c>
      <c r="D1841" s="4" t="str">
        <f>"祁符萍"</f>
        <v>祁符萍</v>
      </c>
      <c r="E1841" s="4" t="str">
        <f t="shared" si="89"/>
        <v>女</v>
      </c>
    </row>
    <row r="1842" spans="1:5" ht="30" customHeight="1">
      <c r="A1842" s="4">
        <v>1840</v>
      </c>
      <c r="B1842" s="4" t="str">
        <f>"39712022060611174494942"</f>
        <v>39712022060611174494942</v>
      </c>
      <c r="C1842" s="4" t="s">
        <v>25</v>
      </c>
      <c r="D1842" s="4" t="str">
        <f>"陈凤旋"</f>
        <v>陈凤旋</v>
      </c>
      <c r="E1842" s="4" t="str">
        <f t="shared" si="89"/>
        <v>女</v>
      </c>
    </row>
    <row r="1843" spans="1:5" ht="30" customHeight="1">
      <c r="A1843" s="4">
        <v>1841</v>
      </c>
      <c r="B1843" s="4" t="str">
        <f>"39712022060611174994944"</f>
        <v>39712022060611174994944</v>
      </c>
      <c r="C1843" s="4" t="s">
        <v>25</v>
      </c>
      <c r="D1843" s="4" t="str">
        <f>"邓景元"</f>
        <v>邓景元</v>
      </c>
      <c r="E1843" s="4" t="str">
        <f t="shared" si="89"/>
        <v>女</v>
      </c>
    </row>
    <row r="1844" spans="1:5" ht="30" customHeight="1">
      <c r="A1844" s="4">
        <v>1842</v>
      </c>
      <c r="B1844" s="4" t="str">
        <f>"39712022060611190194969"</f>
        <v>39712022060611190194969</v>
      </c>
      <c r="C1844" s="4" t="s">
        <v>25</v>
      </c>
      <c r="D1844" s="4" t="str">
        <f>"谢伟春"</f>
        <v>谢伟春</v>
      </c>
      <c r="E1844" s="4" t="str">
        <f t="shared" si="89"/>
        <v>女</v>
      </c>
    </row>
    <row r="1845" spans="1:5" ht="30" customHeight="1">
      <c r="A1845" s="4">
        <v>1843</v>
      </c>
      <c r="B1845" s="4" t="str">
        <f>"39712022060611215595028"</f>
        <v>39712022060611215595028</v>
      </c>
      <c r="C1845" s="4" t="s">
        <v>25</v>
      </c>
      <c r="D1845" s="4" t="str">
        <f>"李尤萍"</f>
        <v>李尤萍</v>
      </c>
      <c r="E1845" s="4" t="str">
        <f t="shared" si="89"/>
        <v>女</v>
      </c>
    </row>
    <row r="1846" spans="1:5" ht="30" customHeight="1">
      <c r="A1846" s="4">
        <v>1844</v>
      </c>
      <c r="B1846" s="4" t="str">
        <f>"39712022060611285295155"</f>
        <v>39712022060611285295155</v>
      </c>
      <c r="C1846" s="4" t="s">
        <v>25</v>
      </c>
      <c r="D1846" s="4" t="str">
        <f>"殷蕾"</f>
        <v>殷蕾</v>
      </c>
      <c r="E1846" s="4" t="str">
        <f t="shared" si="89"/>
        <v>女</v>
      </c>
    </row>
    <row r="1847" spans="1:5" ht="30" customHeight="1">
      <c r="A1847" s="4">
        <v>1845</v>
      </c>
      <c r="B1847" s="4" t="str">
        <f>"39712022060611313895195"</f>
        <v>39712022060611313895195</v>
      </c>
      <c r="C1847" s="4" t="s">
        <v>25</v>
      </c>
      <c r="D1847" s="4" t="str">
        <f>"李其珊"</f>
        <v>李其珊</v>
      </c>
      <c r="E1847" s="4" t="str">
        <f t="shared" si="89"/>
        <v>女</v>
      </c>
    </row>
    <row r="1848" spans="1:5" ht="30" customHeight="1">
      <c r="A1848" s="4">
        <v>1846</v>
      </c>
      <c r="B1848" s="4" t="str">
        <f>"39712022060611342195236"</f>
        <v>39712022060611342195236</v>
      </c>
      <c r="C1848" s="4" t="s">
        <v>25</v>
      </c>
      <c r="D1848" s="4" t="str">
        <f>"符少花"</f>
        <v>符少花</v>
      </c>
      <c r="E1848" s="4" t="str">
        <f t="shared" si="89"/>
        <v>女</v>
      </c>
    </row>
    <row r="1849" spans="1:5" ht="30" customHeight="1">
      <c r="A1849" s="4">
        <v>1847</v>
      </c>
      <c r="B1849" s="4" t="str">
        <f>"39712022060611403595344"</f>
        <v>39712022060611403595344</v>
      </c>
      <c r="C1849" s="4" t="s">
        <v>25</v>
      </c>
      <c r="D1849" s="4" t="str">
        <f>"朱峻滢"</f>
        <v>朱峻滢</v>
      </c>
      <c r="E1849" s="4" t="str">
        <f t="shared" si="89"/>
        <v>女</v>
      </c>
    </row>
    <row r="1850" spans="1:5" ht="30" customHeight="1">
      <c r="A1850" s="4">
        <v>1848</v>
      </c>
      <c r="B1850" s="4" t="str">
        <f>"39712022060611462295445"</f>
        <v>39712022060611462295445</v>
      </c>
      <c r="C1850" s="4" t="s">
        <v>25</v>
      </c>
      <c r="D1850" s="4" t="str">
        <f>"王家花"</f>
        <v>王家花</v>
      </c>
      <c r="E1850" s="4" t="str">
        <f t="shared" si="89"/>
        <v>女</v>
      </c>
    </row>
    <row r="1851" spans="1:5" ht="30" customHeight="1">
      <c r="A1851" s="4">
        <v>1849</v>
      </c>
      <c r="B1851" s="4" t="str">
        <f>"39712022060611501495502"</f>
        <v>39712022060611501495502</v>
      </c>
      <c r="C1851" s="4" t="s">
        <v>25</v>
      </c>
      <c r="D1851" s="4" t="str">
        <f>"许佩汝"</f>
        <v>许佩汝</v>
      </c>
      <c r="E1851" s="4" t="str">
        <f t="shared" si="89"/>
        <v>女</v>
      </c>
    </row>
    <row r="1852" spans="1:5" ht="30" customHeight="1">
      <c r="A1852" s="4">
        <v>1850</v>
      </c>
      <c r="B1852" s="4" t="str">
        <f>"39712022060611522395533"</f>
        <v>39712022060611522395533</v>
      </c>
      <c r="C1852" s="4" t="s">
        <v>25</v>
      </c>
      <c r="D1852" s="4" t="str">
        <f>"徐欢"</f>
        <v>徐欢</v>
      </c>
      <c r="E1852" s="4" t="str">
        <f t="shared" si="89"/>
        <v>女</v>
      </c>
    </row>
    <row r="1853" spans="1:5" ht="30" customHeight="1">
      <c r="A1853" s="4">
        <v>1851</v>
      </c>
      <c r="B1853" s="4" t="str">
        <f>"39712022060611534295551"</f>
        <v>39712022060611534295551</v>
      </c>
      <c r="C1853" s="4" t="s">
        <v>25</v>
      </c>
      <c r="D1853" s="4" t="str">
        <f>"冼送宜"</f>
        <v>冼送宜</v>
      </c>
      <c r="E1853" s="4" t="str">
        <f t="shared" si="89"/>
        <v>女</v>
      </c>
    </row>
    <row r="1854" spans="1:5" ht="30" customHeight="1">
      <c r="A1854" s="4">
        <v>1852</v>
      </c>
      <c r="B1854" s="4" t="str">
        <f>"39712022060611570595600"</f>
        <v>39712022060611570595600</v>
      </c>
      <c r="C1854" s="4" t="s">
        <v>25</v>
      </c>
      <c r="D1854" s="4" t="str">
        <f>"唐佳丽"</f>
        <v>唐佳丽</v>
      </c>
      <c r="E1854" s="4" t="str">
        <f t="shared" si="89"/>
        <v>女</v>
      </c>
    </row>
    <row r="1855" spans="1:5" ht="30" customHeight="1">
      <c r="A1855" s="4">
        <v>1853</v>
      </c>
      <c r="B1855" s="4" t="str">
        <f>"39712022060611582695617"</f>
        <v>39712022060611582695617</v>
      </c>
      <c r="C1855" s="4" t="s">
        <v>25</v>
      </c>
      <c r="D1855" s="4" t="str">
        <f>"王梅"</f>
        <v>王梅</v>
      </c>
      <c r="E1855" s="4" t="str">
        <f t="shared" si="89"/>
        <v>女</v>
      </c>
    </row>
    <row r="1856" spans="1:5" ht="30" customHeight="1">
      <c r="A1856" s="4">
        <v>1854</v>
      </c>
      <c r="B1856" s="4" t="str">
        <f>"39712022060612030595672"</f>
        <v>39712022060612030595672</v>
      </c>
      <c r="C1856" s="4" t="s">
        <v>25</v>
      </c>
      <c r="D1856" s="4" t="str">
        <f>"赖忆连"</f>
        <v>赖忆连</v>
      </c>
      <c r="E1856" s="4" t="str">
        <f t="shared" si="89"/>
        <v>女</v>
      </c>
    </row>
    <row r="1857" spans="1:5" ht="30" customHeight="1">
      <c r="A1857" s="4">
        <v>1855</v>
      </c>
      <c r="B1857" s="4" t="str">
        <f>"39712022060612073495734"</f>
        <v>39712022060612073495734</v>
      </c>
      <c r="C1857" s="4" t="s">
        <v>25</v>
      </c>
      <c r="D1857" s="4" t="str">
        <f>"文荟"</f>
        <v>文荟</v>
      </c>
      <c r="E1857" s="4" t="str">
        <f t="shared" si="89"/>
        <v>女</v>
      </c>
    </row>
    <row r="1858" spans="1:5" ht="30" customHeight="1">
      <c r="A1858" s="4">
        <v>1856</v>
      </c>
      <c r="B1858" s="4" t="str">
        <f>"39712022060612152895822"</f>
        <v>39712022060612152895822</v>
      </c>
      <c r="C1858" s="4" t="s">
        <v>25</v>
      </c>
      <c r="D1858" s="4" t="str">
        <f>"邓道雄"</f>
        <v>邓道雄</v>
      </c>
      <c r="E1858" s="4" t="str">
        <f>"男"</f>
        <v>男</v>
      </c>
    </row>
    <row r="1859" spans="1:5" ht="30" customHeight="1">
      <c r="A1859" s="4">
        <v>1857</v>
      </c>
      <c r="B1859" s="4" t="str">
        <f>"39712022060612174595850"</f>
        <v>39712022060612174595850</v>
      </c>
      <c r="C1859" s="4" t="s">
        <v>25</v>
      </c>
      <c r="D1859" s="4" t="str">
        <f>"吴艳恒"</f>
        <v>吴艳恒</v>
      </c>
      <c r="E1859" s="4" t="str">
        <f aca="true" t="shared" si="90" ref="E1859:E1871">"女"</f>
        <v>女</v>
      </c>
    </row>
    <row r="1860" spans="1:5" ht="30" customHeight="1">
      <c r="A1860" s="4">
        <v>1858</v>
      </c>
      <c r="B1860" s="4" t="str">
        <f>"39712022060612174995853"</f>
        <v>39712022060612174995853</v>
      </c>
      <c r="C1860" s="4" t="s">
        <v>25</v>
      </c>
      <c r="D1860" s="4" t="str">
        <f>"羊金香"</f>
        <v>羊金香</v>
      </c>
      <c r="E1860" s="4" t="str">
        <f t="shared" si="90"/>
        <v>女</v>
      </c>
    </row>
    <row r="1861" spans="1:5" ht="30" customHeight="1">
      <c r="A1861" s="4">
        <v>1859</v>
      </c>
      <c r="B1861" s="4" t="str">
        <f>"39712022060612311796023"</f>
        <v>39712022060612311796023</v>
      </c>
      <c r="C1861" s="4" t="s">
        <v>25</v>
      </c>
      <c r="D1861" s="4" t="str">
        <f>"吴清雅"</f>
        <v>吴清雅</v>
      </c>
      <c r="E1861" s="4" t="str">
        <f t="shared" si="90"/>
        <v>女</v>
      </c>
    </row>
    <row r="1862" spans="1:5" ht="30" customHeight="1">
      <c r="A1862" s="4">
        <v>1860</v>
      </c>
      <c r="B1862" s="4" t="str">
        <f>"39712022060612330296046"</f>
        <v>39712022060612330296046</v>
      </c>
      <c r="C1862" s="4" t="s">
        <v>25</v>
      </c>
      <c r="D1862" s="4" t="str">
        <f>"邢玉兰"</f>
        <v>邢玉兰</v>
      </c>
      <c r="E1862" s="4" t="str">
        <f t="shared" si="90"/>
        <v>女</v>
      </c>
    </row>
    <row r="1863" spans="1:5" ht="30" customHeight="1">
      <c r="A1863" s="4">
        <v>1861</v>
      </c>
      <c r="B1863" s="4" t="str">
        <f>"39712022060612454096194"</f>
        <v>39712022060612454096194</v>
      </c>
      <c r="C1863" s="4" t="s">
        <v>25</v>
      </c>
      <c r="D1863" s="4" t="str">
        <f>"周影"</f>
        <v>周影</v>
      </c>
      <c r="E1863" s="4" t="str">
        <f t="shared" si="90"/>
        <v>女</v>
      </c>
    </row>
    <row r="1864" spans="1:5" ht="30" customHeight="1">
      <c r="A1864" s="4">
        <v>1862</v>
      </c>
      <c r="B1864" s="4" t="str">
        <f>"39712022060612483196219"</f>
        <v>39712022060612483196219</v>
      </c>
      <c r="C1864" s="4" t="s">
        <v>25</v>
      </c>
      <c r="D1864" s="4" t="str">
        <f>"曾民娟"</f>
        <v>曾民娟</v>
      </c>
      <c r="E1864" s="4" t="str">
        <f t="shared" si="90"/>
        <v>女</v>
      </c>
    </row>
    <row r="1865" spans="1:5" ht="30" customHeight="1">
      <c r="A1865" s="4">
        <v>1863</v>
      </c>
      <c r="B1865" s="4" t="str">
        <f>"39712022060612501596242"</f>
        <v>39712022060612501596242</v>
      </c>
      <c r="C1865" s="4" t="s">
        <v>25</v>
      </c>
      <c r="D1865" s="4" t="str">
        <f>"曾秀强"</f>
        <v>曾秀强</v>
      </c>
      <c r="E1865" s="4" t="str">
        <f t="shared" si="90"/>
        <v>女</v>
      </c>
    </row>
    <row r="1866" spans="1:5" ht="30" customHeight="1">
      <c r="A1866" s="4">
        <v>1864</v>
      </c>
      <c r="B1866" s="4" t="str">
        <f>"39712022060612504196247"</f>
        <v>39712022060612504196247</v>
      </c>
      <c r="C1866" s="4" t="s">
        <v>25</v>
      </c>
      <c r="D1866" s="4" t="str">
        <f>"王佩盈"</f>
        <v>王佩盈</v>
      </c>
      <c r="E1866" s="4" t="str">
        <f t="shared" si="90"/>
        <v>女</v>
      </c>
    </row>
    <row r="1867" spans="1:5" ht="30" customHeight="1">
      <c r="A1867" s="4">
        <v>1865</v>
      </c>
      <c r="B1867" s="4" t="str">
        <f>"39712022060612561896294"</f>
        <v>39712022060612561896294</v>
      </c>
      <c r="C1867" s="4" t="s">
        <v>25</v>
      </c>
      <c r="D1867" s="4" t="str">
        <f>"蔡日兰"</f>
        <v>蔡日兰</v>
      </c>
      <c r="E1867" s="4" t="str">
        <f t="shared" si="90"/>
        <v>女</v>
      </c>
    </row>
    <row r="1868" spans="1:5" ht="30" customHeight="1">
      <c r="A1868" s="4">
        <v>1866</v>
      </c>
      <c r="B1868" s="4" t="str">
        <f>"39712022060612583896328"</f>
        <v>39712022060612583896328</v>
      </c>
      <c r="C1868" s="4" t="s">
        <v>25</v>
      </c>
      <c r="D1868" s="4" t="str">
        <f>"韩雪"</f>
        <v>韩雪</v>
      </c>
      <c r="E1868" s="4" t="str">
        <f t="shared" si="90"/>
        <v>女</v>
      </c>
    </row>
    <row r="1869" spans="1:5" ht="30" customHeight="1">
      <c r="A1869" s="4">
        <v>1867</v>
      </c>
      <c r="B1869" s="4" t="str">
        <f>"39712022060613062696396"</f>
        <v>39712022060613062696396</v>
      </c>
      <c r="C1869" s="4" t="s">
        <v>25</v>
      </c>
      <c r="D1869" s="4" t="str">
        <f>"王娇娇"</f>
        <v>王娇娇</v>
      </c>
      <c r="E1869" s="4" t="str">
        <f t="shared" si="90"/>
        <v>女</v>
      </c>
    </row>
    <row r="1870" spans="1:5" ht="30" customHeight="1">
      <c r="A1870" s="4">
        <v>1868</v>
      </c>
      <c r="B1870" s="4" t="str">
        <f>"39712022060613282196590"</f>
        <v>39712022060613282196590</v>
      </c>
      <c r="C1870" s="4" t="s">
        <v>25</v>
      </c>
      <c r="D1870" s="4" t="str">
        <f>"符珊婷"</f>
        <v>符珊婷</v>
      </c>
      <c r="E1870" s="4" t="str">
        <f t="shared" si="90"/>
        <v>女</v>
      </c>
    </row>
    <row r="1871" spans="1:5" ht="30" customHeight="1">
      <c r="A1871" s="4">
        <v>1869</v>
      </c>
      <c r="B1871" s="4" t="str">
        <f>"39712022060613465196742"</f>
        <v>39712022060613465196742</v>
      </c>
      <c r="C1871" s="4" t="s">
        <v>25</v>
      </c>
      <c r="D1871" s="4" t="str">
        <f>"符秀霞"</f>
        <v>符秀霞</v>
      </c>
      <c r="E1871" s="4" t="str">
        <f t="shared" si="90"/>
        <v>女</v>
      </c>
    </row>
    <row r="1872" spans="1:5" ht="30" customHeight="1">
      <c r="A1872" s="4">
        <v>1870</v>
      </c>
      <c r="B1872" s="4" t="str">
        <f>"39712022060613534796790"</f>
        <v>39712022060613534796790</v>
      </c>
      <c r="C1872" s="4" t="s">
        <v>25</v>
      </c>
      <c r="D1872" s="4" t="str">
        <f>"李绪成"</f>
        <v>李绪成</v>
      </c>
      <c r="E1872" s="4" t="str">
        <f>"男"</f>
        <v>男</v>
      </c>
    </row>
    <row r="1873" spans="1:5" ht="30" customHeight="1">
      <c r="A1873" s="4">
        <v>1871</v>
      </c>
      <c r="B1873" s="4" t="str">
        <f>"39712022060613582096824"</f>
        <v>39712022060613582096824</v>
      </c>
      <c r="C1873" s="4" t="s">
        <v>25</v>
      </c>
      <c r="D1873" s="4" t="str">
        <f>"黄姜"</f>
        <v>黄姜</v>
      </c>
      <c r="E1873" s="4" t="str">
        <f aca="true" t="shared" si="91" ref="E1873:E1879">"女"</f>
        <v>女</v>
      </c>
    </row>
    <row r="1874" spans="1:5" ht="30" customHeight="1">
      <c r="A1874" s="4">
        <v>1872</v>
      </c>
      <c r="B1874" s="4" t="str">
        <f>"39712022060614100596926"</f>
        <v>39712022060614100596926</v>
      </c>
      <c r="C1874" s="4" t="s">
        <v>25</v>
      </c>
      <c r="D1874" s="4" t="str">
        <f>"李江玲"</f>
        <v>李江玲</v>
      </c>
      <c r="E1874" s="4" t="str">
        <f t="shared" si="91"/>
        <v>女</v>
      </c>
    </row>
    <row r="1875" spans="1:5" ht="30" customHeight="1">
      <c r="A1875" s="4">
        <v>1873</v>
      </c>
      <c r="B1875" s="4" t="str">
        <f>"39712022060614162696985"</f>
        <v>39712022060614162696985</v>
      </c>
      <c r="C1875" s="4" t="s">
        <v>25</v>
      </c>
      <c r="D1875" s="4" t="str">
        <f>"李清锦"</f>
        <v>李清锦</v>
      </c>
      <c r="E1875" s="4" t="str">
        <f t="shared" si="91"/>
        <v>女</v>
      </c>
    </row>
    <row r="1876" spans="1:5" ht="30" customHeight="1">
      <c r="A1876" s="4">
        <v>1874</v>
      </c>
      <c r="B1876" s="4" t="str">
        <f>"39712022060614341897154"</f>
        <v>39712022060614341897154</v>
      </c>
      <c r="C1876" s="4" t="s">
        <v>25</v>
      </c>
      <c r="D1876" s="4" t="str">
        <f>"符彩玲"</f>
        <v>符彩玲</v>
      </c>
      <c r="E1876" s="4" t="str">
        <f t="shared" si="91"/>
        <v>女</v>
      </c>
    </row>
    <row r="1877" spans="1:5" ht="30" customHeight="1">
      <c r="A1877" s="4">
        <v>1875</v>
      </c>
      <c r="B1877" s="4" t="str">
        <f>"39712022060614383997201"</f>
        <v>39712022060614383997201</v>
      </c>
      <c r="C1877" s="4" t="s">
        <v>25</v>
      </c>
      <c r="D1877" s="4" t="str">
        <f>"黎仁莎"</f>
        <v>黎仁莎</v>
      </c>
      <c r="E1877" s="4" t="str">
        <f t="shared" si="91"/>
        <v>女</v>
      </c>
    </row>
    <row r="1878" spans="1:5" ht="30" customHeight="1">
      <c r="A1878" s="4">
        <v>1876</v>
      </c>
      <c r="B1878" s="4" t="str">
        <f>"39712022060614402297219"</f>
        <v>39712022060614402297219</v>
      </c>
      <c r="C1878" s="4" t="s">
        <v>25</v>
      </c>
      <c r="D1878" s="4" t="str">
        <f>"黄洁"</f>
        <v>黄洁</v>
      </c>
      <c r="E1878" s="4" t="str">
        <f t="shared" si="91"/>
        <v>女</v>
      </c>
    </row>
    <row r="1879" spans="1:5" ht="30" customHeight="1">
      <c r="A1879" s="4">
        <v>1877</v>
      </c>
      <c r="B1879" s="4" t="str">
        <f>"39712022060614521197389"</f>
        <v>39712022060614521197389</v>
      </c>
      <c r="C1879" s="4" t="s">
        <v>25</v>
      </c>
      <c r="D1879" s="4" t="str">
        <f>"许国凤"</f>
        <v>许国凤</v>
      </c>
      <c r="E1879" s="4" t="str">
        <f t="shared" si="91"/>
        <v>女</v>
      </c>
    </row>
    <row r="1880" spans="1:5" ht="30" customHeight="1">
      <c r="A1880" s="4">
        <v>1878</v>
      </c>
      <c r="B1880" s="4" t="str">
        <f>"39712022060614542397419"</f>
        <v>39712022060614542397419</v>
      </c>
      <c r="C1880" s="4" t="s">
        <v>25</v>
      </c>
      <c r="D1880" s="4" t="str">
        <f>"羊裕贤"</f>
        <v>羊裕贤</v>
      </c>
      <c r="E1880" s="4" t="str">
        <f>"男"</f>
        <v>男</v>
      </c>
    </row>
    <row r="1881" spans="1:5" ht="30" customHeight="1">
      <c r="A1881" s="4">
        <v>1879</v>
      </c>
      <c r="B1881" s="4" t="str">
        <f>"39712022060615160997713"</f>
        <v>39712022060615160997713</v>
      </c>
      <c r="C1881" s="4" t="s">
        <v>25</v>
      </c>
      <c r="D1881" s="4" t="str">
        <f>"王德武"</f>
        <v>王德武</v>
      </c>
      <c r="E1881" s="4" t="str">
        <f>"男"</f>
        <v>男</v>
      </c>
    </row>
    <row r="1882" spans="1:5" ht="30" customHeight="1">
      <c r="A1882" s="4">
        <v>1880</v>
      </c>
      <c r="B1882" s="4" t="str">
        <f>"39712022060615320197929"</f>
        <v>39712022060615320197929</v>
      </c>
      <c r="C1882" s="4" t="s">
        <v>25</v>
      </c>
      <c r="D1882" s="4" t="str">
        <f>"孟思琳"</f>
        <v>孟思琳</v>
      </c>
      <c r="E1882" s="4" t="str">
        <f>"女"</f>
        <v>女</v>
      </c>
    </row>
    <row r="1883" spans="1:5" ht="30" customHeight="1">
      <c r="A1883" s="4">
        <v>1881</v>
      </c>
      <c r="B1883" s="4" t="str">
        <f>"39712022060615331497940"</f>
        <v>39712022060615331497940</v>
      </c>
      <c r="C1883" s="4" t="s">
        <v>25</v>
      </c>
      <c r="D1883" s="4" t="str">
        <f>"张素瑜"</f>
        <v>张素瑜</v>
      </c>
      <c r="E1883" s="4" t="str">
        <f>"女"</f>
        <v>女</v>
      </c>
    </row>
    <row r="1884" spans="1:5" ht="30" customHeight="1">
      <c r="A1884" s="4">
        <v>1882</v>
      </c>
      <c r="B1884" s="4" t="str">
        <f>"39712022060615333397945"</f>
        <v>39712022060615333397945</v>
      </c>
      <c r="C1884" s="4" t="s">
        <v>25</v>
      </c>
      <c r="D1884" s="4" t="str">
        <f>"许汝萍"</f>
        <v>许汝萍</v>
      </c>
      <c r="E1884" s="4" t="str">
        <f>"女"</f>
        <v>女</v>
      </c>
    </row>
    <row r="1885" spans="1:5" ht="30" customHeight="1">
      <c r="A1885" s="4">
        <v>1883</v>
      </c>
      <c r="B1885" s="4" t="str">
        <f>"39712022060615363897982"</f>
        <v>39712022060615363897982</v>
      </c>
      <c r="C1885" s="4" t="s">
        <v>25</v>
      </c>
      <c r="D1885" s="4" t="str">
        <f>"杨敏"</f>
        <v>杨敏</v>
      </c>
      <c r="E1885" s="4" t="str">
        <f>"女"</f>
        <v>女</v>
      </c>
    </row>
    <row r="1886" spans="1:5" ht="30" customHeight="1">
      <c r="A1886" s="4">
        <v>1884</v>
      </c>
      <c r="B1886" s="4" t="str">
        <f>"39712022060615433798079"</f>
        <v>39712022060615433798079</v>
      </c>
      <c r="C1886" s="4" t="s">
        <v>25</v>
      </c>
      <c r="D1886" s="4" t="str">
        <f>"王伟"</f>
        <v>王伟</v>
      </c>
      <c r="E1886" s="4" t="str">
        <f>"男"</f>
        <v>男</v>
      </c>
    </row>
    <row r="1887" spans="1:5" ht="30" customHeight="1">
      <c r="A1887" s="4">
        <v>1885</v>
      </c>
      <c r="B1887" s="4" t="str">
        <f>"39712022060615442998092"</f>
        <v>39712022060615442998092</v>
      </c>
      <c r="C1887" s="4" t="s">
        <v>25</v>
      </c>
      <c r="D1887" s="4" t="str">
        <f>"罗孔玲"</f>
        <v>罗孔玲</v>
      </c>
      <c r="E1887" s="4" t="str">
        <f aca="true" t="shared" si="92" ref="E1887:E1910">"女"</f>
        <v>女</v>
      </c>
    </row>
    <row r="1888" spans="1:5" ht="30" customHeight="1">
      <c r="A1888" s="4">
        <v>1886</v>
      </c>
      <c r="B1888" s="4" t="str">
        <f>"39712022060615480998150"</f>
        <v>39712022060615480998150</v>
      </c>
      <c r="C1888" s="4" t="s">
        <v>25</v>
      </c>
      <c r="D1888" s="4" t="str">
        <f>"李流彬"</f>
        <v>李流彬</v>
      </c>
      <c r="E1888" s="4" t="str">
        <f t="shared" si="92"/>
        <v>女</v>
      </c>
    </row>
    <row r="1889" spans="1:5" ht="30" customHeight="1">
      <c r="A1889" s="4">
        <v>1887</v>
      </c>
      <c r="B1889" s="4" t="str">
        <f>"39712022060615511698195"</f>
        <v>39712022060615511698195</v>
      </c>
      <c r="C1889" s="4" t="s">
        <v>25</v>
      </c>
      <c r="D1889" s="4" t="str">
        <f>"吴英榕"</f>
        <v>吴英榕</v>
      </c>
      <c r="E1889" s="4" t="str">
        <f t="shared" si="92"/>
        <v>女</v>
      </c>
    </row>
    <row r="1890" spans="1:5" ht="30" customHeight="1">
      <c r="A1890" s="4">
        <v>1888</v>
      </c>
      <c r="B1890" s="4" t="str">
        <f>"39712022060615524698214"</f>
        <v>39712022060615524698214</v>
      </c>
      <c r="C1890" s="4" t="s">
        <v>25</v>
      </c>
      <c r="D1890" s="4" t="str">
        <f>"李颖"</f>
        <v>李颖</v>
      </c>
      <c r="E1890" s="4" t="str">
        <f t="shared" si="92"/>
        <v>女</v>
      </c>
    </row>
    <row r="1891" spans="1:5" ht="30" customHeight="1">
      <c r="A1891" s="4">
        <v>1889</v>
      </c>
      <c r="B1891" s="4" t="str">
        <f>"39712022060615524998217"</f>
        <v>39712022060615524998217</v>
      </c>
      <c r="C1891" s="4" t="s">
        <v>25</v>
      </c>
      <c r="D1891" s="4" t="str">
        <f>"王国美"</f>
        <v>王国美</v>
      </c>
      <c r="E1891" s="4" t="str">
        <f t="shared" si="92"/>
        <v>女</v>
      </c>
    </row>
    <row r="1892" spans="1:5" ht="30" customHeight="1">
      <c r="A1892" s="4">
        <v>1890</v>
      </c>
      <c r="B1892" s="4" t="str">
        <f>"39712022060615533598231"</f>
        <v>39712022060615533598231</v>
      </c>
      <c r="C1892" s="4" t="s">
        <v>25</v>
      </c>
      <c r="D1892" s="4" t="str">
        <f>"刘丽秋"</f>
        <v>刘丽秋</v>
      </c>
      <c r="E1892" s="4" t="str">
        <f t="shared" si="92"/>
        <v>女</v>
      </c>
    </row>
    <row r="1893" spans="1:5" ht="30" customHeight="1">
      <c r="A1893" s="4">
        <v>1891</v>
      </c>
      <c r="B1893" s="4" t="str">
        <f>"39712022060616061098404"</f>
        <v>39712022060616061098404</v>
      </c>
      <c r="C1893" s="4" t="s">
        <v>25</v>
      </c>
      <c r="D1893" s="4" t="str">
        <f>"黄美芬"</f>
        <v>黄美芬</v>
      </c>
      <c r="E1893" s="4" t="str">
        <f t="shared" si="92"/>
        <v>女</v>
      </c>
    </row>
    <row r="1894" spans="1:5" ht="30" customHeight="1">
      <c r="A1894" s="4">
        <v>1892</v>
      </c>
      <c r="B1894" s="4" t="str">
        <f>"39712022060616163498542"</f>
        <v>39712022060616163498542</v>
      </c>
      <c r="C1894" s="4" t="s">
        <v>25</v>
      </c>
      <c r="D1894" s="4" t="str">
        <f>"黄小燕"</f>
        <v>黄小燕</v>
      </c>
      <c r="E1894" s="4" t="str">
        <f t="shared" si="92"/>
        <v>女</v>
      </c>
    </row>
    <row r="1895" spans="1:5" ht="30" customHeight="1">
      <c r="A1895" s="4">
        <v>1893</v>
      </c>
      <c r="B1895" s="4" t="str">
        <f>"39712022060616283698694"</f>
        <v>39712022060616283698694</v>
      </c>
      <c r="C1895" s="4" t="s">
        <v>25</v>
      </c>
      <c r="D1895" s="4" t="str">
        <f>"李月华"</f>
        <v>李月华</v>
      </c>
      <c r="E1895" s="4" t="str">
        <f t="shared" si="92"/>
        <v>女</v>
      </c>
    </row>
    <row r="1896" spans="1:5" ht="30" customHeight="1">
      <c r="A1896" s="4">
        <v>1894</v>
      </c>
      <c r="B1896" s="4" t="str">
        <f>"39712022060616292098705"</f>
        <v>39712022060616292098705</v>
      </c>
      <c r="C1896" s="4" t="s">
        <v>25</v>
      </c>
      <c r="D1896" s="4" t="str">
        <f>"虞琼丽"</f>
        <v>虞琼丽</v>
      </c>
      <c r="E1896" s="4" t="str">
        <f t="shared" si="92"/>
        <v>女</v>
      </c>
    </row>
    <row r="1897" spans="1:5" ht="30" customHeight="1">
      <c r="A1897" s="4">
        <v>1895</v>
      </c>
      <c r="B1897" s="4" t="str">
        <f>"39712022060616300198715"</f>
        <v>39712022060616300198715</v>
      </c>
      <c r="C1897" s="4" t="s">
        <v>25</v>
      </c>
      <c r="D1897" s="4" t="str">
        <f>"曾敏琴"</f>
        <v>曾敏琴</v>
      </c>
      <c r="E1897" s="4" t="str">
        <f t="shared" si="92"/>
        <v>女</v>
      </c>
    </row>
    <row r="1898" spans="1:5" ht="30" customHeight="1">
      <c r="A1898" s="4">
        <v>1896</v>
      </c>
      <c r="B1898" s="4" t="str">
        <f>"39712022060616350098772"</f>
        <v>39712022060616350098772</v>
      </c>
      <c r="C1898" s="4" t="s">
        <v>25</v>
      </c>
      <c r="D1898" s="4" t="str">
        <f>"黄珠"</f>
        <v>黄珠</v>
      </c>
      <c r="E1898" s="4" t="str">
        <f t="shared" si="92"/>
        <v>女</v>
      </c>
    </row>
    <row r="1899" spans="1:5" ht="30" customHeight="1">
      <c r="A1899" s="4">
        <v>1897</v>
      </c>
      <c r="B1899" s="4" t="str">
        <f>"39712022060616425998889"</f>
        <v>39712022060616425998889</v>
      </c>
      <c r="C1899" s="4" t="s">
        <v>25</v>
      </c>
      <c r="D1899" s="4" t="str">
        <f>"王恩瑄"</f>
        <v>王恩瑄</v>
      </c>
      <c r="E1899" s="4" t="str">
        <f t="shared" si="92"/>
        <v>女</v>
      </c>
    </row>
    <row r="1900" spans="1:5" ht="30" customHeight="1">
      <c r="A1900" s="4">
        <v>1898</v>
      </c>
      <c r="B1900" s="4" t="str">
        <f>"39712022060616470298938"</f>
        <v>39712022060616470298938</v>
      </c>
      <c r="C1900" s="4" t="s">
        <v>25</v>
      </c>
      <c r="D1900" s="4" t="str">
        <f>"谢珊瑚"</f>
        <v>谢珊瑚</v>
      </c>
      <c r="E1900" s="4" t="str">
        <f t="shared" si="92"/>
        <v>女</v>
      </c>
    </row>
    <row r="1901" spans="1:5" ht="30" customHeight="1">
      <c r="A1901" s="4">
        <v>1899</v>
      </c>
      <c r="B1901" s="4" t="str">
        <f>"39712022060616532099013"</f>
        <v>39712022060616532099013</v>
      </c>
      <c r="C1901" s="4" t="s">
        <v>25</v>
      </c>
      <c r="D1901" s="4" t="str">
        <f>"王海玉"</f>
        <v>王海玉</v>
      </c>
      <c r="E1901" s="4" t="str">
        <f t="shared" si="92"/>
        <v>女</v>
      </c>
    </row>
    <row r="1902" spans="1:5" ht="30" customHeight="1">
      <c r="A1902" s="4">
        <v>1900</v>
      </c>
      <c r="B1902" s="4" t="str">
        <f>"39712022060616532399015"</f>
        <v>39712022060616532399015</v>
      </c>
      <c r="C1902" s="4" t="s">
        <v>25</v>
      </c>
      <c r="D1902" s="4" t="str">
        <f>"高珍桃"</f>
        <v>高珍桃</v>
      </c>
      <c r="E1902" s="4" t="str">
        <f t="shared" si="92"/>
        <v>女</v>
      </c>
    </row>
    <row r="1903" spans="1:5" ht="30" customHeight="1">
      <c r="A1903" s="4">
        <v>1901</v>
      </c>
      <c r="B1903" s="4" t="str">
        <f>"39712022060616570199054"</f>
        <v>39712022060616570199054</v>
      </c>
      <c r="C1903" s="4" t="s">
        <v>25</v>
      </c>
      <c r="D1903" s="4" t="str">
        <f>"薛乾妃"</f>
        <v>薛乾妃</v>
      </c>
      <c r="E1903" s="4" t="str">
        <f t="shared" si="92"/>
        <v>女</v>
      </c>
    </row>
    <row r="1904" spans="1:5" ht="30" customHeight="1">
      <c r="A1904" s="4">
        <v>1902</v>
      </c>
      <c r="B1904" s="4" t="str">
        <f>"39712022060617041799129"</f>
        <v>39712022060617041799129</v>
      </c>
      <c r="C1904" s="4" t="s">
        <v>25</v>
      </c>
      <c r="D1904" s="4" t="str">
        <f>"吴雨琪"</f>
        <v>吴雨琪</v>
      </c>
      <c r="E1904" s="4" t="str">
        <f t="shared" si="92"/>
        <v>女</v>
      </c>
    </row>
    <row r="1905" spans="1:5" ht="30" customHeight="1">
      <c r="A1905" s="4">
        <v>1903</v>
      </c>
      <c r="B1905" s="4" t="str">
        <f>"39712022060617143699250"</f>
        <v>39712022060617143699250</v>
      </c>
      <c r="C1905" s="4" t="s">
        <v>25</v>
      </c>
      <c r="D1905" s="4" t="str">
        <f>"王宝嫦"</f>
        <v>王宝嫦</v>
      </c>
      <c r="E1905" s="4" t="str">
        <f t="shared" si="92"/>
        <v>女</v>
      </c>
    </row>
    <row r="1906" spans="1:5" ht="30" customHeight="1">
      <c r="A1906" s="4">
        <v>1904</v>
      </c>
      <c r="B1906" s="4" t="str">
        <f>"39712022060617261599361"</f>
        <v>39712022060617261599361</v>
      </c>
      <c r="C1906" s="4" t="s">
        <v>25</v>
      </c>
      <c r="D1906" s="4" t="str">
        <f>"王苏惠"</f>
        <v>王苏惠</v>
      </c>
      <c r="E1906" s="4" t="str">
        <f t="shared" si="92"/>
        <v>女</v>
      </c>
    </row>
    <row r="1907" spans="1:5" ht="30" customHeight="1">
      <c r="A1907" s="4">
        <v>1905</v>
      </c>
      <c r="B1907" s="4" t="str">
        <f>"39712022060617305199403"</f>
        <v>39712022060617305199403</v>
      </c>
      <c r="C1907" s="4" t="s">
        <v>25</v>
      </c>
      <c r="D1907" s="4" t="str">
        <f>"符丽苹"</f>
        <v>符丽苹</v>
      </c>
      <c r="E1907" s="4" t="str">
        <f t="shared" si="92"/>
        <v>女</v>
      </c>
    </row>
    <row r="1908" spans="1:5" ht="30" customHeight="1">
      <c r="A1908" s="4">
        <v>1906</v>
      </c>
      <c r="B1908" s="4" t="str">
        <f>"39712022060617312699410"</f>
        <v>39712022060617312699410</v>
      </c>
      <c r="C1908" s="4" t="s">
        <v>25</v>
      </c>
      <c r="D1908" s="4" t="str">
        <f>"李灵"</f>
        <v>李灵</v>
      </c>
      <c r="E1908" s="4" t="str">
        <f t="shared" si="92"/>
        <v>女</v>
      </c>
    </row>
    <row r="1909" spans="1:5" ht="30" customHeight="1">
      <c r="A1909" s="4">
        <v>1907</v>
      </c>
      <c r="B1909" s="4" t="str">
        <f>"39712022060617362099458"</f>
        <v>39712022060617362099458</v>
      </c>
      <c r="C1909" s="4" t="s">
        <v>25</v>
      </c>
      <c r="D1909" s="4" t="str">
        <f>"钟荣如"</f>
        <v>钟荣如</v>
      </c>
      <c r="E1909" s="4" t="str">
        <f t="shared" si="92"/>
        <v>女</v>
      </c>
    </row>
    <row r="1910" spans="1:5" ht="30" customHeight="1">
      <c r="A1910" s="4">
        <v>1908</v>
      </c>
      <c r="B1910" s="4" t="str">
        <f>"39712022060617495299577"</f>
        <v>39712022060617495299577</v>
      </c>
      <c r="C1910" s="4" t="s">
        <v>25</v>
      </c>
      <c r="D1910" s="4" t="str">
        <f>"许海源"</f>
        <v>许海源</v>
      </c>
      <c r="E1910" s="4" t="str">
        <f t="shared" si="92"/>
        <v>女</v>
      </c>
    </row>
    <row r="1911" spans="1:5" ht="30" customHeight="1">
      <c r="A1911" s="4">
        <v>1909</v>
      </c>
      <c r="B1911" s="4" t="str">
        <f>"39712022060617515799593"</f>
        <v>39712022060617515799593</v>
      </c>
      <c r="C1911" s="4" t="s">
        <v>25</v>
      </c>
      <c r="D1911" s="4" t="str">
        <f>"刘俊泽"</f>
        <v>刘俊泽</v>
      </c>
      <c r="E1911" s="4" t="str">
        <f>"男"</f>
        <v>男</v>
      </c>
    </row>
    <row r="1912" spans="1:5" ht="30" customHeight="1">
      <c r="A1912" s="4">
        <v>1910</v>
      </c>
      <c r="B1912" s="4" t="str">
        <f>"39712022060617584999658"</f>
        <v>39712022060617584999658</v>
      </c>
      <c r="C1912" s="4" t="s">
        <v>25</v>
      </c>
      <c r="D1912" s="4" t="str">
        <f>"陈楚茹"</f>
        <v>陈楚茹</v>
      </c>
      <c r="E1912" s="4" t="str">
        <f aca="true" t="shared" si="93" ref="E1912:E1964">"女"</f>
        <v>女</v>
      </c>
    </row>
    <row r="1913" spans="1:5" ht="30" customHeight="1">
      <c r="A1913" s="4">
        <v>1911</v>
      </c>
      <c r="B1913" s="4" t="str">
        <f>"39712022060618203099853"</f>
        <v>39712022060618203099853</v>
      </c>
      <c r="C1913" s="4" t="s">
        <v>25</v>
      </c>
      <c r="D1913" s="4" t="str">
        <f>"黎庆婷"</f>
        <v>黎庆婷</v>
      </c>
      <c r="E1913" s="4" t="str">
        <f t="shared" si="93"/>
        <v>女</v>
      </c>
    </row>
    <row r="1914" spans="1:5" ht="30" customHeight="1">
      <c r="A1914" s="4">
        <v>1912</v>
      </c>
      <c r="B1914" s="4" t="str">
        <f>"39712022060618213699861"</f>
        <v>39712022060618213699861</v>
      </c>
      <c r="C1914" s="4" t="s">
        <v>25</v>
      </c>
      <c r="D1914" s="4" t="str">
        <f>" 邱垂娥"</f>
        <v> 邱垂娥</v>
      </c>
      <c r="E1914" s="4" t="str">
        <f t="shared" si="93"/>
        <v>女</v>
      </c>
    </row>
    <row r="1915" spans="1:5" ht="30" customHeight="1">
      <c r="A1915" s="4">
        <v>1913</v>
      </c>
      <c r="B1915" s="4" t="str">
        <f>"39712022060618214499864"</f>
        <v>39712022060618214499864</v>
      </c>
      <c r="C1915" s="4" t="s">
        <v>25</v>
      </c>
      <c r="D1915" s="4" t="str">
        <f>"牛龙妹"</f>
        <v>牛龙妹</v>
      </c>
      <c r="E1915" s="4" t="str">
        <f t="shared" si="93"/>
        <v>女</v>
      </c>
    </row>
    <row r="1916" spans="1:5" ht="30" customHeight="1">
      <c r="A1916" s="4">
        <v>1914</v>
      </c>
      <c r="B1916" s="4" t="str">
        <f>"39712022060618240199875"</f>
        <v>39712022060618240199875</v>
      </c>
      <c r="C1916" s="4" t="s">
        <v>25</v>
      </c>
      <c r="D1916" s="4" t="str">
        <f>"张小玉"</f>
        <v>张小玉</v>
      </c>
      <c r="E1916" s="4" t="str">
        <f t="shared" si="93"/>
        <v>女</v>
      </c>
    </row>
    <row r="1917" spans="1:5" ht="30" customHeight="1">
      <c r="A1917" s="4">
        <v>1915</v>
      </c>
      <c r="B1917" s="4" t="str">
        <f>"39712022060618262999893"</f>
        <v>39712022060618262999893</v>
      </c>
      <c r="C1917" s="4" t="s">
        <v>25</v>
      </c>
      <c r="D1917" s="4" t="str">
        <f>"罗彩玲"</f>
        <v>罗彩玲</v>
      </c>
      <c r="E1917" s="4" t="str">
        <f t="shared" si="93"/>
        <v>女</v>
      </c>
    </row>
    <row r="1918" spans="1:5" ht="30" customHeight="1">
      <c r="A1918" s="4">
        <v>1916</v>
      </c>
      <c r="B1918" s="4" t="str">
        <f>"39712022060618282699910"</f>
        <v>39712022060618282699910</v>
      </c>
      <c r="C1918" s="4" t="s">
        <v>25</v>
      </c>
      <c r="D1918" s="4" t="str">
        <f>"冯朝芳"</f>
        <v>冯朝芳</v>
      </c>
      <c r="E1918" s="4" t="str">
        <f t="shared" si="93"/>
        <v>女</v>
      </c>
    </row>
    <row r="1919" spans="1:5" ht="30" customHeight="1">
      <c r="A1919" s="4">
        <v>1917</v>
      </c>
      <c r="B1919" s="4" t="str">
        <f>"39712022060618294599921"</f>
        <v>39712022060618294599921</v>
      </c>
      <c r="C1919" s="4" t="s">
        <v>25</v>
      </c>
      <c r="D1919" s="4" t="str">
        <f>"陈忠妹"</f>
        <v>陈忠妹</v>
      </c>
      <c r="E1919" s="4" t="str">
        <f t="shared" si="93"/>
        <v>女</v>
      </c>
    </row>
    <row r="1920" spans="1:5" ht="30" customHeight="1">
      <c r="A1920" s="4">
        <v>1918</v>
      </c>
      <c r="B1920" s="4" t="str">
        <f>"39712022060618374099985"</f>
        <v>39712022060618374099985</v>
      </c>
      <c r="C1920" s="4" t="s">
        <v>25</v>
      </c>
      <c r="D1920" s="4" t="str">
        <f>"林福爽"</f>
        <v>林福爽</v>
      </c>
      <c r="E1920" s="4" t="str">
        <f t="shared" si="93"/>
        <v>女</v>
      </c>
    </row>
    <row r="1921" spans="1:5" ht="30" customHeight="1">
      <c r="A1921" s="4">
        <v>1919</v>
      </c>
      <c r="B1921" s="4" t="str">
        <f>"397120220606185158100100"</f>
        <v>397120220606185158100100</v>
      </c>
      <c r="C1921" s="4" t="s">
        <v>25</v>
      </c>
      <c r="D1921" s="4" t="str">
        <f>"符小凤"</f>
        <v>符小凤</v>
      </c>
      <c r="E1921" s="4" t="str">
        <f t="shared" si="93"/>
        <v>女</v>
      </c>
    </row>
    <row r="1922" spans="1:5" ht="30" customHeight="1">
      <c r="A1922" s="4">
        <v>1920</v>
      </c>
      <c r="B1922" s="4" t="str">
        <f>"397120220606185412100128"</f>
        <v>397120220606185412100128</v>
      </c>
      <c r="C1922" s="4" t="s">
        <v>25</v>
      </c>
      <c r="D1922" s="4" t="str">
        <f>"李媛"</f>
        <v>李媛</v>
      </c>
      <c r="E1922" s="4" t="str">
        <f t="shared" si="93"/>
        <v>女</v>
      </c>
    </row>
    <row r="1923" spans="1:5" ht="30" customHeight="1">
      <c r="A1923" s="4">
        <v>1921</v>
      </c>
      <c r="B1923" s="4" t="str">
        <f>"397120220606185802100160"</f>
        <v>397120220606185802100160</v>
      </c>
      <c r="C1923" s="4" t="s">
        <v>25</v>
      </c>
      <c r="D1923" s="4" t="str">
        <f>"王瑞旧"</f>
        <v>王瑞旧</v>
      </c>
      <c r="E1923" s="4" t="str">
        <f t="shared" si="93"/>
        <v>女</v>
      </c>
    </row>
    <row r="1924" spans="1:5" ht="30" customHeight="1">
      <c r="A1924" s="4">
        <v>1922</v>
      </c>
      <c r="B1924" s="4" t="str">
        <f>"397120220606190621100227"</f>
        <v>397120220606190621100227</v>
      </c>
      <c r="C1924" s="4" t="s">
        <v>25</v>
      </c>
      <c r="D1924" s="4" t="str">
        <f>"董力萍"</f>
        <v>董力萍</v>
      </c>
      <c r="E1924" s="4" t="str">
        <f t="shared" si="93"/>
        <v>女</v>
      </c>
    </row>
    <row r="1925" spans="1:5" ht="30" customHeight="1">
      <c r="A1925" s="4">
        <v>1923</v>
      </c>
      <c r="B1925" s="4" t="str">
        <f>"397120220606191921100317"</f>
        <v>397120220606191921100317</v>
      </c>
      <c r="C1925" s="4" t="s">
        <v>25</v>
      </c>
      <c r="D1925" s="4" t="str">
        <f>"杜雪琳"</f>
        <v>杜雪琳</v>
      </c>
      <c r="E1925" s="4" t="str">
        <f t="shared" si="93"/>
        <v>女</v>
      </c>
    </row>
    <row r="1926" spans="1:5" ht="30" customHeight="1">
      <c r="A1926" s="4">
        <v>1924</v>
      </c>
      <c r="B1926" s="4" t="str">
        <f>"397120220606192942100407"</f>
        <v>397120220606192942100407</v>
      </c>
      <c r="C1926" s="4" t="s">
        <v>25</v>
      </c>
      <c r="D1926" s="4" t="str">
        <f>"张遥"</f>
        <v>张遥</v>
      </c>
      <c r="E1926" s="4" t="str">
        <f t="shared" si="93"/>
        <v>女</v>
      </c>
    </row>
    <row r="1927" spans="1:5" ht="30" customHeight="1">
      <c r="A1927" s="4">
        <v>1925</v>
      </c>
      <c r="B1927" s="4" t="str">
        <f>"397120220606193019100412"</f>
        <v>397120220606193019100412</v>
      </c>
      <c r="C1927" s="4" t="s">
        <v>25</v>
      </c>
      <c r="D1927" s="4" t="str">
        <f>"李明珍"</f>
        <v>李明珍</v>
      </c>
      <c r="E1927" s="4" t="str">
        <f t="shared" si="93"/>
        <v>女</v>
      </c>
    </row>
    <row r="1928" spans="1:5" ht="30" customHeight="1">
      <c r="A1928" s="4">
        <v>1926</v>
      </c>
      <c r="B1928" s="4" t="str">
        <f>"397120220606193947100481"</f>
        <v>397120220606193947100481</v>
      </c>
      <c r="C1928" s="4" t="s">
        <v>25</v>
      </c>
      <c r="D1928" s="4" t="str">
        <f>"王盈"</f>
        <v>王盈</v>
      </c>
      <c r="E1928" s="4" t="str">
        <f t="shared" si="93"/>
        <v>女</v>
      </c>
    </row>
    <row r="1929" spans="1:5" ht="30" customHeight="1">
      <c r="A1929" s="4">
        <v>1927</v>
      </c>
      <c r="B1929" s="4" t="str">
        <f>"397120220606194347100513"</f>
        <v>397120220606194347100513</v>
      </c>
      <c r="C1929" s="4" t="s">
        <v>25</v>
      </c>
      <c r="D1929" s="4" t="str">
        <f>"陈玲玲"</f>
        <v>陈玲玲</v>
      </c>
      <c r="E1929" s="4" t="str">
        <f t="shared" si="93"/>
        <v>女</v>
      </c>
    </row>
    <row r="1930" spans="1:5" ht="30" customHeight="1">
      <c r="A1930" s="4">
        <v>1928</v>
      </c>
      <c r="B1930" s="4" t="str">
        <f>"397120220606195611100618"</f>
        <v>397120220606195611100618</v>
      </c>
      <c r="C1930" s="4" t="s">
        <v>25</v>
      </c>
      <c r="D1930" s="4" t="str">
        <f>"姚丹沁"</f>
        <v>姚丹沁</v>
      </c>
      <c r="E1930" s="4" t="str">
        <f t="shared" si="93"/>
        <v>女</v>
      </c>
    </row>
    <row r="1931" spans="1:5" ht="30" customHeight="1">
      <c r="A1931" s="4">
        <v>1929</v>
      </c>
      <c r="B1931" s="4" t="str">
        <f>"397120220606195747100632"</f>
        <v>397120220606195747100632</v>
      </c>
      <c r="C1931" s="4" t="s">
        <v>25</v>
      </c>
      <c r="D1931" s="4" t="str">
        <f>"林婷"</f>
        <v>林婷</v>
      </c>
      <c r="E1931" s="4" t="str">
        <f t="shared" si="93"/>
        <v>女</v>
      </c>
    </row>
    <row r="1932" spans="1:5" ht="30" customHeight="1">
      <c r="A1932" s="4">
        <v>1930</v>
      </c>
      <c r="B1932" s="4" t="str">
        <f>"397120220606195851100638"</f>
        <v>397120220606195851100638</v>
      </c>
      <c r="C1932" s="4" t="s">
        <v>25</v>
      </c>
      <c r="D1932" s="4" t="str">
        <f>"廖丽云"</f>
        <v>廖丽云</v>
      </c>
      <c r="E1932" s="4" t="str">
        <f t="shared" si="93"/>
        <v>女</v>
      </c>
    </row>
    <row r="1933" spans="1:5" ht="30" customHeight="1">
      <c r="A1933" s="4">
        <v>1931</v>
      </c>
      <c r="B1933" s="4" t="str">
        <f>"397120220606200405100679"</f>
        <v>397120220606200405100679</v>
      </c>
      <c r="C1933" s="4" t="s">
        <v>25</v>
      </c>
      <c r="D1933" s="4" t="str">
        <f>"庞启莹"</f>
        <v>庞启莹</v>
      </c>
      <c r="E1933" s="4" t="str">
        <f t="shared" si="93"/>
        <v>女</v>
      </c>
    </row>
    <row r="1934" spans="1:5" ht="30" customHeight="1">
      <c r="A1934" s="4">
        <v>1932</v>
      </c>
      <c r="B1934" s="4" t="str">
        <f>"397120220606201119100738"</f>
        <v>397120220606201119100738</v>
      </c>
      <c r="C1934" s="4" t="s">
        <v>25</v>
      </c>
      <c r="D1934" s="4" t="str">
        <f>"陈少风"</f>
        <v>陈少风</v>
      </c>
      <c r="E1934" s="4" t="str">
        <f t="shared" si="93"/>
        <v>女</v>
      </c>
    </row>
    <row r="1935" spans="1:5" ht="30" customHeight="1">
      <c r="A1935" s="4">
        <v>1933</v>
      </c>
      <c r="B1935" s="4" t="str">
        <f>"397120220606201743100795"</f>
        <v>397120220606201743100795</v>
      </c>
      <c r="C1935" s="4" t="s">
        <v>25</v>
      </c>
      <c r="D1935" s="4" t="str">
        <f>"吴朝阳"</f>
        <v>吴朝阳</v>
      </c>
      <c r="E1935" s="4" t="str">
        <f t="shared" si="93"/>
        <v>女</v>
      </c>
    </row>
    <row r="1936" spans="1:5" ht="30" customHeight="1">
      <c r="A1936" s="4">
        <v>1934</v>
      </c>
      <c r="B1936" s="4" t="str">
        <f>"397120220606202224100836"</f>
        <v>397120220606202224100836</v>
      </c>
      <c r="C1936" s="4" t="s">
        <v>25</v>
      </c>
      <c r="D1936" s="4" t="str">
        <f>"符小盼"</f>
        <v>符小盼</v>
      </c>
      <c r="E1936" s="4" t="str">
        <f t="shared" si="93"/>
        <v>女</v>
      </c>
    </row>
    <row r="1937" spans="1:5" ht="30" customHeight="1">
      <c r="A1937" s="4">
        <v>1935</v>
      </c>
      <c r="B1937" s="4" t="str">
        <f>"397120220606203156100916"</f>
        <v>397120220606203156100916</v>
      </c>
      <c r="C1937" s="4" t="s">
        <v>25</v>
      </c>
      <c r="D1937" s="4" t="str">
        <f>"吴陈君"</f>
        <v>吴陈君</v>
      </c>
      <c r="E1937" s="4" t="str">
        <f t="shared" si="93"/>
        <v>女</v>
      </c>
    </row>
    <row r="1938" spans="1:5" ht="30" customHeight="1">
      <c r="A1938" s="4">
        <v>1936</v>
      </c>
      <c r="B1938" s="4" t="str">
        <f>"397120220606203902100967"</f>
        <v>397120220606203902100967</v>
      </c>
      <c r="C1938" s="4" t="s">
        <v>25</v>
      </c>
      <c r="D1938" s="4" t="str">
        <f>"孔婉茹"</f>
        <v>孔婉茹</v>
      </c>
      <c r="E1938" s="4" t="str">
        <f t="shared" si="93"/>
        <v>女</v>
      </c>
    </row>
    <row r="1939" spans="1:5" ht="30" customHeight="1">
      <c r="A1939" s="4">
        <v>1937</v>
      </c>
      <c r="B1939" s="4" t="str">
        <f>"397120220606204051100983"</f>
        <v>397120220606204051100983</v>
      </c>
      <c r="C1939" s="4" t="s">
        <v>25</v>
      </c>
      <c r="D1939" s="4" t="str">
        <f>"黄彩蝶"</f>
        <v>黄彩蝶</v>
      </c>
      <c r="E1939" s="4" t="str">
        <f t="shared" si="93"/>
        <v>女</v>
      </c>
    </row>
    <row r="1940" spans="1:5" ht="30" customHeight="1">
      <c r="A1940" s="4">
        <v>1938</v>
      </c>
      <c r="B1940" s="4" t="str">
        <f>"397120220606204738101043"</f>
        <v>397120220606204738101043</v>
      </c>
      <c r="C1940" s="4" t="s">
        <v>25</v>
      </c>
      <c r="D1940" s="4" t="str">
        <f>"吴雯雯"</f>
        <v>吴雯雯</v>
      </c>
      <c r="E1940" s="4" t="str">
        <f t="shared" si="93"/>
        <v>女</v>
      </c>
    </row>
    <row r="1941" spans="1:5" ht="30" customHeight="1">
      <c r="A1941" s="4">
        <v>1939</v>
      </c>
      <c r="B1941" s="4" t="str">
        <f>"397120220606211239101250"</f>
        <v>397120220606211239101250</v>
      </c>
      <c r="C1941" s="4" t="s">
        <v>25</v>
      </c>
      <c r="D1941" s="4" t="str">
        <f>"羊有秋"</f>
        <v>羊有秋</v>
      </c>
      <c r="E1941" s="4" t="str">
        <f t="shared" si="93"/>
        <v>女</v>
      </c>
    </row>
    <row r="1942" spans="1:5" ht="30" customHeight="1">
      <c r="A1942" s="4">
        <v>1940</v>
      </c>
      <c r="B1942" s="4" t="str">
        <f>"397120220606211315101259"</f>
        <v>397120220606211315101259</v>
      </c>
      <c r="C1942" s="4" t="s">
        <v>25</v>
      </c>
      <c r="D1942" s="4" t="str">
        <f>"李美玉"</f>
        <v>李美玉</v>
      </c>
      <c r="E1942" s="4" t="str">
        <f t="shared" si="93"/>
        <v>女</v>
      </c>
    </row>
    <row r="1943" spans="1:5" ht="30" customHeight="1">
      <c r="A1943" s="4">
        <v>1941</v>
      </c>
      <c r="B1943" s="4" t="str">
        <f>"397120220606211324101262"</f>
        <v>397120220606211324101262</v>
      </c>
      <c r="C1943" s="4" t="s">
        <v>25</v>
      </c>
      <c r="D1943" s="4" t="str">
        <f>"曹儒虹"</f>
        <v>曹儒虹</v>
      </c>
      <c r="E1943" s="4" t="str">
        <f t="shared" si="93"/>
        <v>女</v>
      </c>
    </row>
    <row r="1944" spans="1:5" ht="30" customHeight="1">
      <c r="A1944" s="4">
        <v>1942</v>
      </c>
      <c r="B1944" s="4" t="str">
        <f>"397120220606211655101286"</f>
        <v>397120220606211655101286</v>
      </c>
      <c r="C1944" s="4" t="s">
        <v>25</v>
      </c>
      <c r="D1944" s="4" t="str">
        <f>"黎思婷"</f>
        <v>黎思婷</v>
      </c>
      <c r="E1944" s="4" t="str">
        <f t="shared" si="93"/>
        <v>女</v>
      </c>
    </row>
    <row r="1945" spans="1:5" ht="30" customHeight="1">
      <c r="A1945" s="4">
        <v>1943</v>
      </c>
      <c r="B1945" s="4" t="str">
        <f>"397120220606211904101302"</f>
        <v>397120220606211904101302</v>
      </c>
      <c r="C1945" s="4" t="s">
        <v>25</v>
      </c>
      <c r="D1945" s="4" t="str">
        <f>"周园"</f>
        <v>周园</v>
      </c>
      <c r="E1945" s="4" t="str">
        <f t="shared" si="93"/>
        <v>女</v>
      </c>
    </row>
    <row r="1946" spans="1:5" ht="30" customHeight="1">
      <c r="A1946" s="4">
        <v>1944</v>
      </c>
      <c r="B1946" s="4" t="str">
        <f>"397120220606213736101417"</f>
        <v>397120220606213736101417</v>
      </c>
      <c r="C1946" s="4" t="s">
        <v>25</v>
      </c>
      <c r="D1946" s="4" t="str">
        <f>"王娇"</f>
        <v>王娇</v>
      </c>
      <c r="E1946" s="4" t="str">
        <f t="shared" si="93"/>
        <v>女</v>
      </c>
    </row>
    <row r="1947" spans="1:5" ht="30" customHeight="1">
      <c r="A1947" s="4">
        <v>1945</v>
      </c>
      <c r="B1947" s="4" t="str">
        <f>"397120220606214249101497"</f>
        <v>397120220606214249101497</v>
      </c>
      <c r="C1947" s="4" t="s">
        <v>25</v>
      </c>
      <c r="D1947" s="4" t="str">
        <f>"李天爱"</f>
        <v>李天爱</v>
      </c>
      <c r="E1947" s="4" t="str">
        <f t="shared" si="93"/>
        <v>女</v>
      </c>
    </row>
    <row r="1948" spans="1:5" ht="30" customHeight="1">
      <c r="A1948" s="4">
        <v>1946</v>
      </c>
      <c r="B1948" s="4" t="str">
        <f>"397120220606214530101527"</f>
        <v>397120220606214530101527</v>
      </c>
      <c r="C1948" s="4" t="s">
        <v>25</v>
      </c>
      <c r="D1948" s="4" t="str">
        <f>"刘丽剑"</f>
        <v>刘丽剑</v>
      </c>
      <c r="E1948" s="4" t="str">
        <f t="shared" si="93"/>
        <v>女</v>
      </c>
    </row>
    <row r="1949" spans="1:5" ht="30" customHeight="1">
      <c r="A1949" s="4">
        <v>1947</v>
      </c>
      <c r="B1949" s="4" t="str">
        <f>"397120220606214847101554"</f>
        <v>397120220606214847101554</v>
      </c>
      <c r="C1949" s="4" t="s">
        <v>25</v>
      </c>
      <c r="D1949" s="4" t="str">
        <f>"邝丽豪"</f>
        <v>邝丽豪</v>
      </c>
      <c r="E1949" s="4" t="str">
        <f t="shared" si="93"/>
        <v>女</v>
      </c>
    </row>
    <row r="1950" spans="1:5" ht="30" customHeight="1">
      <c r="A1950" s="4">
        <v>1948</v>
      </c>
      <c r="B1950" s="4" t="str">
        <f>"397120220606215942101661"</f>
        <v>397120220606215942101661</v>
      </c>
      <c r="C1950" s="4" t="s">
        <v>25</v>
      </c>
      <c r="D1950" s="4" t="str">
        <f>"林秋焕"</f>
        <v>林秋焕</v>
      </c>
      <c r="E1950" s="4" t="str">
        <f t="shared" si="93"/>
        <v>女</v>
      </c>
    </row>
    <row r="1951" spans="1:5" ht="30" customHeight="1">
      <c r="A1951" s="4">
        <v>1949</v>
      </c>
      <c r="B1951" s="4" t="str">
        <f>"397120220606221053101774"</f>
        <v>397120220606221053101774</v>
      </c>
      <c r="C1951" s="4" t="s">
        <v>25</v>
      </c>
      <c r="D1951" s="4" t="str">
        <f>"王昭宇"</f>
        <v>王昭宇</v>
      </c>
      <c r="E1951" s="4" t="str">
        <f t="shared" si="93"/>
        <v>女</v>
      </c>
    </row>
    <row r="1952" spans="1:5" ht="30" customHeight="1">
      <c r="A1952" s="4">
        <v>1950</v>
      </c>
      <c r="B1952" s="4" t="str">
        <f>"397120220606222751101907"</f>
        <v>397120220606222751101907</v>
      </c>
      <c r="C1952" s="4" t="s">
        <v>25</v>
      </c>
      <c r="D1952" s="4" t="str">
        <f>"韦树华"</f>
        <v>韦树华</v>
      </c>
      <c r="E1952" s="4" t="str">
        <f t="shared" si="93"/>
        <v>女</v>
      </c>
    </row>
    <row r="1953" spans="1:5" ht="30" customHeight="1">
      <c r="A1953" s="4">
        <v>1951</v>
      </c>
      <c r="B1953" s="4" t="str">
        <f>"397120220606223048101935"</f>
        <v>397120220606223048101935</v>
      </c>
      <c r="C1953" s="4" t="s">
        <v>25</v>
      </c>
      <c r="D1953" s="4" t="str">
        <f>"卢翠娣"</f>
        <v>卢翠娣</v>
      </c>
      <c r="E1953" s="4" t="str">
        <f t="shared" si="93"/>
        <v>女</v>
      </c>
    </row>
    <row r="1954" spans="1:5" ht="30" customHeight="1">
      <c r="A1954" s="4">
        <v>1952</v>
      </c>
      <c r="B1954" s="4" t="str">
        <f>"397120220606223110101940"</f>
        <v>397120220606223110101940</v>
      </c>
      <c r="C1954" s="4" t="s">
        <v>25</v>
      </c>
      <c r="D1954" s="4" t="str">
        <f>"冯小柳"</f>
        <v>冯小柳</v>
      </c>
      <c r="E1954" s="4" t="str">
        <f t="shared" si="93"/>
        <v>女</v>
      </c>
    </row>
    <row r="1955" spans="1:5" ht="30" customHeight="1">
      <c r="A1955" s="4">
        <v>1953</v>
      </c>
      <c r="B1955" s="4" t="str">
        <f>"397120220606224332102045"</f>
        <v>397120220606224332102045</v>
      </c>
      <c r="C1955" s="4" t="s">
        <v>25</v>
      </c>
      <c r="D1955" s="4" t="str">
        <f>"符秀妃"</f>
        <v>符秀妃</v>
      </c>
      <c r="E1955" s="4" t="str">
        <f t="shared" si="93"/>
        <v>女</v>
      </c>
    </row>
    <row r="1956" spans="1:5" ht="30" customHeight="1">
      <c r="A1956" s="4">
        <v>1954</v>
      </c>
      <c r="B1956" s="4" t="str">
        <f>"397120220606224409102052"</f>
        <v>397120220606224409102052</v>
      </c>
      <c r="C1956" s="4" t="s">
        <v>25</v>
      </c>
      <c r="D1956" s="4" t="str">
        <f>"洪琼珠"</f>
        <v>洪琼珠</v>
      </c>
      <c r="E1956" s="4" t="str">
        <f t="shared" si="93"/>
        <v>女</v>
      </c>
    </row>
    <row r="1957" spans="1:5" ht="30" customHeight="1">
      <c r="A1957" s="4">
        <v>1955</v>
      </c>
      <c r="B1957" s="4" t="str">
        <f>"397120220606224733102081"</f>
        <v>397120220606224733102081</v>
      </c>
      <c r="C1957" s="4" t="s">
        <v>25</v>
      </c>
      <c r="D1957" s="4" t="str">
        <f>"陈红妃"</f>
        <v>陈红妃</v>
      </c>
      <c r="E1957" s="4" t="str">
        <f t="shared" si="93"/>
        <v>女</v>
      </c>
    </row>
    <row r="1958" spans="1:5" ht="30" customHeight="1">
      <c r="A1958" s="4">
        <v>1956</v>
      </c>
      <c r="B1958" s="4" t="str">
        <f>"397120220606225247102115"</f>
        <v>397120220606225247102115</v>
      </c>
      <c r="C1958" s="4" t="s">
        <v>25</v>
      </c>
      <c r="D1958" s="4" t="str">
        <f>"林芬"</f>
        <v>林芬</v>
      </c>
      <c r="E1958" s="4" t="str">
        <f t="shared" si="93"/>
        <v>女</v>
      </c>
    </row>
    <row r="1959" spans="1:5" ht="30" customHeight="1">
      <c r="A1959" s="4">
        <v>1957</v>
      </c>
      <c r="B1959" s="4" t="str">
        <f>"397120220606225827102135"</f>
        <v>397120220606225827102135</v>
      </c>
      <c r="C1959" s="4" t="s">
        <v>25</v>
      </c>
      <c r="D1959" s="4" t="str">
        <f>"胡丽金"</f>
        <v>胡丽金</v>
      </c>
      <c r="E1959" s="4" t="str">
        <f t="shared" si="93"/>
        <v>女</v>
      </c>
    </row>
    <row r="1960" spans="1:5" ht="30" customHeight="1">
      <c r="A1960" s="4">
        <v>1958</v>
      </c>
      <c r="B1960" s="4" t="str">
        <f>"397120220606230754102195"</f>
        <v>397120220606230754102195</v>
      </c>
      <c r="C1960" s="4" t="s">
        <v>25</v>
      </c>
      <c r="D1960" s="4" t="str">
        <f>"黄莉芬"</f>
        <v>黄莉芬</v>
      </c>
      <c r="E1960" s="4" t="str">
        <f t="shared" si="93"/>
        <v>女</v>
      </c>
    </row>
    <row r="1961" spans="1:5" ht="30" customHeight="1">
      <c r="A1961" s="4">
        <v>1959</v>
      </c>
      <c r="B1961" s="4" t="str">
        <f>"397120220606231447102230"</f>
        <v>397120220606231447102230</v>
      </c>
      <c r="C1961" s="4" t="s">
        <v>25</v>
      </c>
      <c r="D1961" s="4" t="str">
        <f>"杜春燕"</f>
        <v>杜春燕</v>
      </c>
      <c r="E1961" s="4" t="str">
        <f t="shared" si="93"/>
        <v>女</v>
      </c>
    </row>
    <row r="1962" spans="1:5" ht="30" customHeight="1">
      <c r="A1962" s="4">
        <v>1960</v>
      </c>
      <c r="B1962" s="4" t="str">
        <f>"397120220606231604102236"</f>
        <v>397120220606231604102236</v>
      </c>
      <c r="C1962" s="4" t="s">
        <v>25</v>
      </c>
      <c r="D1962" s="4" t="str">
        <f>"林小强"</f>
        <v>林小强</v>
      </c>
      <c r="E1962" s="4" t="str">
        <f t="shared" si="93"/>
        <v>女</v>
      </c>
    </row>
    <row r="1963" spans="1:5" ht="30" customHeight="1">
      <c r="A1963" s="4">
        <v>1961</v>
      </c>
      <c r="B1963" s="4" t="str">
        <f>"397120220606233757102339"</f>
        <v>397120220606233757102339</v>
      </c>
      <c r="C1963" s="4" t="s">
        <v>25</v>
      </c>
      <c r="D1963" s="4" t="str">
        <f>"王琪柳"</f>
        <v>王琪柳</v>
      </c>
      <c r="E1963" s="4" t="str">
        <f t="shared" si="93"/>
        <v>女</v>
      </c>
    </row>
    <row r="1964" spans="1:5" ht="30" customHeight="1">
      <c r="A1964" s="4">
        <v>1962</v>
      </c>
      <c r="B1964" s="4" t="str">
        <f>"397120220606234729102363"</f>
        <v>397120220606234729102363</v>
      </c>
      <c r="C1964" s="4" t="s">
        <v>25</v>
      </c>
      <c r="D1964" s="4" t="str">
        <f>"翁小青"</f>
        <v>翁小青</v>
      </c>
      <c r="E1964" s="4" t="str">
        <f t="shared" si="93"/>
        <v>女</v>
      </c>
    </row>
    <row r="1965" spans="1:5" ht="30" customHeight="1">
      <c r="A1965" s="4">
        <v>1963</v>
      </c>
      <c r="B1965" s="4" t="str">
        <f>"397120220607010929102501"</f>
        <v>397120220607010929102501</v>
      </c>
      <c r="C1965" s="4" t="s">
        <v>25</v>
      </c>
      <c r="D1965" s="4" t="str">
        <f>"曾雄"</f>
        <v>曾雄</v>
      </c>
      <c r="E1965" s="4" t="str">
        <f>"男"</f>
        <v>男</v>
      </c>
    </row>
    <row r="1966" spans="1:5" ht="30" customHeight="1">
      <c r="A1966" s="4">
        <v>1964</v>
      </c>
      <c r="B1966" s="4" t="str">
        <f>"397120220607022158102532"</f>
        <v>397120220607022158102532</v>
      </c>
      <c r="C1966" s="4" t="s">
        <v>25</v>
      </c>
      <c r="D1966" s="4" t="str">
        <f>"欧阳柳"</f>
        <v>欧阳柳</v>
      </c>
      <c r="E1966" s="4" t="str">
        <f aca="true" t="shared" si="94" ref="E1966:E1972">"女"</f>
        <v>女</v>
      </c>
    </row>
    <row r="1967" spans="1:5" ht="30" customHeight="1">
      <c r="A1967" s="4">
        <v>1965</v>
      </c>
      <c r="B1967" s="4" t="str">
        <f>"397120220607065632102590"</f>
        <v>397120220607065632102590</v>
      </c>
      <c r="C1967" s="4" t="s">
        <v>25</v>
      </c>
      <c r="D1967" s="4" t="str">
        <f>"张用芳"</f>
        <v>张用芳</v>
      </c>
      <c r="E1967" s="4" t="str">
        <f t="shared" si="94"/>
        <v>女</v>
      </c>
    </row>
    <row r="1968" spans="1:5" ht="30" customHeight="1">
      <c r="A1968" s="4">
        <v>1966</v>
      </c>
      <c r="B1968" s="4" t="str">
        <f>"397120220607080013102677"</f>
        <v>397120220607080013102677</v>
      </c>
      <c r="C1968" s="4" t="s">
        <v>25</v>
      </c>
      <c r="D1968" s="4" t="str">
        <f>"董威"</f>
        <v>董威</v>
      </c>
      <c r="E1968" s="4" t="str">
        <f t="shared" si="94"/>
        <v>女</v>
      </c>
    </row>
    <row r="1969" spans="1:5" ht="30" customHeight="1">
      <c r="A1969" s="4">
        <v>1967</v>
      </c>
      <c r="B1969" s="4" t="str">
        <f>"397120220607080903102734"</f>
        <v>397120220607080903102734</v>
      </c>
      <c r="C1969" s="4" t="s">
        <v>25</v>
      </c>
      <c r="D1969" s="4" t="str">
        <f>"黄婷婷"</f>
        <v>黄婷婷</v>
      </c>
      <c r="E1969" s="4" t="str">
        <f t="shared" si="94"/>
        <v>女</v>
      </c>
    </row>
    <row r="1970" spans="1:5" ht="30" customHeight="1">
      <c r="A1970" s="4">
        <v>1968</v>
      </c>
      <c r="B1970" s="4" t="str">
        <f>"397120220607081818102794"</f>
        <v>397120220607081818102794</v>
      </c>
      <c r="C1970" s="4" t="s">
        <v>25</v>
      </c>
      <c r="D1970" s="4" t="str">
        <f>"邓丽春"</f>
        <v>邓丽春</v>
      </c>
      <c r="E1970" s="4" t="str">
        <f t="shared" si="94"/>
        <v>女</v>
      </c>
    </row>
    <row r="1971" spans="1:5" ht="30" customHeight="1">
      <c r="A1971" s="4">
        <v>1969</v>
      </c>
      <c r="B1971" s="4" t="str">
        <f>"397120220607082507102844"</f>
        <v>397120220607082507102844</v>
      </c>
      <c r="C1971" s="4" t="s">
        <v>25</v>
      </c>
      <c r="D1971" s="4" t="str">
        <f>"刘佳鑫"</f>
        <v>刘佳鑫</v>
      </c>
      <c r="E1971" s="4" t="str">
        <f t="shared" si="94"/>
        <v>女</v>
      </c>
    </row>
    <row r="1972" spans="1:5" ht="30" customHeight="1">
      <c r="A1972" s="4">
        <v>1970</v>
      </c>
      <c r="B1972" s="4" t="str">
        <f>"397120220607085221103087"</f>
        <v>397120220607085221103087</v>
      </c>
      <c r="C1972" s="4" t="s">
        <v>25</v>
      </c>
      <c r="D1972" s="4" t="str">
        <f>"罗文晴"</f>
        <v>罗文晴</v>
      </c>
      <c r="E1972" s="4" t="str">
        <f t="shared" si="94"/>
        <v>女</v>
      </c>
    </row>
    <row r="1973" spans="1:5" ht="30" customHeight="1">
      <c r="A1973" s="4">
        <v>1971</v>
      </c>
      <c r="B1973" s="4" t="str">
        <f>"397120220607092438103501"</f>
        <v>397120220607092438103501</v>
      </c>
      <c r="C1973" s="4" t="s">
        <v>25</v>
      </c>
      <c r="D1973" s="4" t="str">
        <f>"郭俞良"</f>
        <v>郭俞良</v>
      </c>
      <c r="E1973" s="4" t="str">
        <f>"男"</f>
        <v>男</v>
      </c>
    </row>
    <row r="1974" spans="1:5" ht="30" customHeight="1">
      <c r="A1974" s="4">
        <v>1972</v>
      </c>
      <c r="B1974" s="4" t="str">
        <f>"397120220607092503103508"</f>
        <v>397120220607092503103508</v>
      </c>
      <c r="C1974" s="4" t="s">
        <v>25</v>
      </c>
      <c r="D1974" s="4" t="str">
        <f>"吴飞燕"</f>
        <v>吴飞燕</v>
      </c>
      <c r="E1974" s="4" t="str">
        <f aca="true" t="shared" si="95" ref="E1974:E1981">"女"</f>
        <v>女</v>
      </c>
    </row>
    <row r="1975" spans="1:5" ht="30" customHeight="1">
      <c r="A1975" s="4">
        <v>1973</v>
      </c>
      <c r="B1975" s="4" t="str">
        <f>"397120220607093734103667"</f>
        <v>397120220607093734103667</v>
      </c>
      <c r="C1975" s="4" t="s">
        <v>25</v>
      </c>
      <c r="D1975" s="4" t="str">
        <f>"徐庄岚"</f>
        <v>徐庄岚</v>
      </c>
      <c r="E1975" s="4" t="str">
        <f t="shared" si="95"/>
        <v>女</v>
      </c>
    </row>
    <row r="1976" spans="1:5" ht="30" customHeight="1">
      <c r="A1976" s="4">
        <v>1974</v>
      </c>
      <c r="B1976" s="4" t="str">
        <f>"397120220607094424103760"</f>
        <v>397120220607094424103760</v>
      </c>
      <c r="C1976" s="4" t="s">
        <v>25</v>
      </c>
      <c r="D1976" s="4" t="str">
        <f>"潘晓莉"</f>
        <v>潘晓莉</v>
      </c>
      <c r="E1976" s="4" t="str">
        <f t="shared" si="95"/>
        <v>女</v>
      </c>
    </row>
    <row r="1977" spans="1:5" ht="30" customHeight="1">
      <c r="A1977" s="4">
        <v>1975</v>
      </c>
      <c r="B1977" s="4" t="str">
        <f>"397120220607095521103928"</f>
        <v>397120220607095521103928</v>
      </c>
      <c r="C1977" s="4" t="s">
        <v>25</v>
      </c>
      <c r="D1977" s="4" t="str">
        <f>"陈佩华"</f>
        <v>陈佩华</v>
      </c>
      <c r="E1977" s="4" t="str">
        <f t="shared" si="95"/>
        <v>女</v>
      </c>
    </row>
    <row r="1978" spans="1:5" ht="30" customHeight="1">
      <c r="A1978" s="4">
        <v>1976</v>
      </c>
      <c r="B1978" s="4" t="str">
        <f>"397120220607100945104132"</f>
        <v>397120220607100945104132</v>
      </c>
      <c r="C1978" s="4" t="s">
        <v>25</v>
      </c>
      <c r="D1978" s="4" t="str">
        <f>"王春苗"</f>
        <v>王春苗</v>
      </c>
      <c r="E1978" s="4" t="str">
        <f t="shared" si="95"/>
        <v>女</v>
      </c>
    </row>
    <row r="1979" spans="1:5" ht="30" customHeight="1">
      <c r="A1979" s="4">
        <v>1977</v>
      </c>
      <c r="B1979" s="4" t="str">
        <f>"397120220607101620104216"</f>
        <v>397120220607101620104216</v>
      </c>
      <c r="C1979" s="4" t="s">
        <v>25</v>
      </c>
      <c r="D1979" s="4" t="str">
        <f>"王艳姗"</f>
        <v>王艳姗</v>
      </c>
      <c r="E1979" s="4" t="str">
        <f t="shared" si="95"/>
        <v>女</v>
      </c>
    </row>
    <row r="1980" spans="1:5" ht="30" customHeight="1">
      <c r="A1980" s="4">
        <v>1978</v>
      </c>
      <c r="B1980" s="4" t="str">
        <f>"397120220607102550104349"</f>
        <v>397120220607102550104349</v>
      </c>
      <c r="C1980" s="4" t="s">
        <v>25</v>
      </c>
      <c r="D1980" s="4" t="str">
        <f>"潘美荣"</f>
        <v>潘美荣</v>
      </c>
      <c r="E1980" s="4" t="str">
        <f t="shared" si="95"/>
        <v>女</v>
      </c>
    </row>
    <row r="1981" spans="1:5" ht="30" customHeight="1">
      <c r="A1981" s="4">
        <v>1979</v>
      </c>
      <c r="B1981" s="4" t="str">
        <f>"397120220607102849104400"</f>
        <v>397120220607102849104400</v>
      </c>
      <c r="C1981" s="4" t="s">
        <v>25</v>
      </c>
      <c r="D1981" s="4" t="str">
        <f>"秦子茹"</f>
        <v>秦子茹</v>
      </c>
      <c r="E1981" s="4" t="str">
        <f t="shared" si="95"/>
        <v>女</v>
      </c>
    </row>
    <row r="1982" spans="1:5" ht="30" customHeight="1">
      <c r="A1982" s="4">
        <v>1980</v>
      </c>
      <c r="B1982" s="4" t="str">
        <f>"397120220607103523104483"</f>
        <v>397120220607103523104483</v>
      </c>
      <c r="C1982" s="4" t="s">
        <v>25</v>
      </c>
      <c r="D1982" s="4" t="str">
        <f>"陈雄"</f>
        <v>陈雄</v>
      </c>
      <c r="E1982" s="4" t="str">
        <f>"男"</f>
        <v>男</v>
      </c>
    </row>
    <row r="1983" spans="1:5" ht="30" customHeight="1">
      <c r="A1983" s="4">
        <v>1981</v>
      </c>
      <c r="B1983" s="4" t="str">
        <f>"397120220607104009104552"</f>
        <v>397120220607104009104552</v>
      </c>
      <c r="C1983" s="4" t="s">
        <v>25</v>
      </c>
      <c r="D1983" s="4" t="str">
        <f>"张婷婷"</f>
        <v>张婷婷</v>
      </c>
      <c r="E1983" s="4" t="str">
        <f>"女"</f>
        <v>女</v>
      </c>
    </row>
    <row r="1984" spans="1:5" ht="30" customHeight="1">
      <c r="A1984" s="4">
        <v>1982</v>
      </c>
      <c r="B1984" s="4" t="str">
        <f>"397120220607104205104575"</f>
        <v>397120220607104205104575</v>
      </c>
      <c r="C1984" s="4" t="s">
        <v>25</v>
      </c>
      <c r="D1984" s="4" t="str">
        <f>"周宇萧"</f>
        <v>周宇萧</v>
      </c>
      <c r="E1984" s="4" t="str">
        <f>"女"</f>
        <v>女</v>
      </c>
    </row>
    <row r="1985" spans="1:5" ht="30" customHeight="1">
      <c r="A1985" s="4">
        <v>1983</v>
      </c>
      <c r="B1985" s="4" t="str">
        <f>"397120220607110143104830"</f>
        <v>397120220607110143104830</v>
      </c>
      <c r="C1985" s="4" t="s">
        <v>25</v>
      </c>
      <c r="D1985" s="4" t="str">
        <f>"王惠麓"</f>
        <v>王惠麓</v>
      </c>
      <c r="E1985" s="4" t="str">
        <f>"女"</f>
        <v>女</v>
      </c>
    </row>
    <row r="1986" spans="1:5" ht="30" customHeight="1">
      <c r="A1986" s="4">
        <v>1984</v>
      </c>
      <c r="B1986" s="4" t="str">
        <f>"397120220607111558104982"</f>
        <v>397120220607111558104982</v>
      </c>
      <c r="C1986" s="4" t="s">
        <v>25</v>
      </c>
      <c r="D1986" s="4" t="str">
        <f>"周海霞"</f>
        <v>周海霞</v>
      </c>
      <c r="E1986" s="4" t="str">
        <f>"女"</f>
        <v>女</v>
      </c>
    </row>
    <row r="1987" spans="1:5" ht="30" customHeight="1">
      <c r="A1987" s="4">
        <v>1985</v>
      </c>
      <c r="B1987" s="4" t="str">
        <f>"397120220607111649104995"</f>
        <v>397120220607111649104995</v>
      </c>
      <c r="C1987" s="4" t="s">
        <v>25</v>
      </c>
      <c r="D1987" s="4" t="str">
        <f>"周月风"</f>
        <v>周月风</v>
      </c>
      <c r="E1987" s="4" t="str">
        <f>"女"</f>
        <v>女</v>
      </c>
    </row>
    <row r="1988" spans="1:5" ht="30" customHeight="1">
      <c r="A1988" s="4">
        <v>1986</v>
      </c>
      <c r="B1988" s="4" t="str">
        <f>"397120220607111921105022"</f>
        <v>397120220607111921105022</v>
      </c>
      <c r="C1988" s="4" t="s">
        <v>25</v>
      </c>
      <c r="D1988" s="4" t="str">
        <f>"陈联威"</f>
        <v>陈联威</v>
      </c>
      <c r="E1988" s="4" t="str">
        <f>"男"</f>
        <v>男</v>
      </c>
    </row>
    <row r="1989" spans="1:5" ht="30" customHeight="1">
      <c r="A1989" s="4">
        <v>1987</v>
      </c>
      <c r="B1989" s="4" t="str">
        <f>"397120220607112007105030"</f>
        <v>397120220607112007105030</v>
      </c>
      <c r="C1989" s="4" t="s">
        <v>25</v>
      </c>
      <c r="D1989" s="4" t="str">
        <f>"杨阿智"</f>
        <v>杨阿智</v>
      </c>
      <c r="E1989" s="4" t="str">
        <f>"女"</f>
        <v>女</v>
      </c>
    </row>
    <row r="1990" spans="1:5" ht="30" customHeight="1">
      <c r="A1990" s="4">
        <v>1988</v>
      </c>
      <c r="B1990" s="4" t="str">
        <f>"397120220607112439105079"</f>
        <v>397120220607112439105079</v>
      </c>
      <c r="C1990" s="4" t="s">
        <v>25</v>
      </c>
      <c r="D1990" s="4" t="str">
        <f>"杨丹"</f>
        <v>杨丹</v>
      </c>
      <c r="E1990" s="4" t="str">
        <f>"女"</f>
        <v>女</v>
      </c>
    </row>
    <row r="1991" spans="1:5" ht="30" customHeight="1">
      <c r="A1991" s="4">
        <v>1989</v>
      </c>
      <c r="B1991" s="4" t="str">
        <f>"397120220607112636105100"</f>
        <v>397120220607112636105100</v>
      </c>
      <c r="C1991" s="4" t="s">
        <v>25</v>
      </c>
      <c r="D1991" s="4" t="str">
        <f>"胡海韵"</f>
        <v>胡海韵</v>
      </c>
      <c r="E1991" s="4" t="str">
        <f>"女"</f>
        <v>女</v>
      </c>
    </row>
    <row r="1992" spans="1:5" ht="30" customHeight="1">
      <c r="A1992" s="4">
        <v>1990</v>
      </c>
      <c r="B1992" s="4" t="str">
        <f>"397120220607114230105270"</f>
        <v>397120220607114230105270</v>
      </c>
      <c r="C1992" s="4" t="s">
        <v>25</v>
      </c>
      <c r="D1992" s="4" t="str">
        <f>"邓彩霞"</f>
        <v>邓彩霞</v>
      </c>
      <c r="E1992" s="4" t="str">
        <f>"女"</f>
        <v>女</v>
      </c>
    </row>
    <row r="1993" spans="1:5" ht="30" customHeight="1">
      <c r="A1993" s="4">
        <v>1991</v>
      </c>
      <c r="B1993" s="4" t="str">
        <f>"397120220607114243105274"</f>
        <v>397120220607114243105274</v>
      </c>
      <c r="C1993" s="4" t="s">
        <v>25</v>
      </c>
      <c r="D1993" s="4" t="str">
        <f>"黄悦"</f>
        <v>黄悦</v>
      </c>
      <c r="E1993" s="4" t="str">
        <f>"男"</f>
        <v>男</v>
      </c>
    </row>
    <row r="1994" spans="1:5" ht="30" customHeight="1">
      <c r="A1994" s="4">
        <v>1992</v>
      </c>
      <c r="B1994" s="4" t="str">
        <f>"397120220607114338105278"</f>
        <v>397120220607114338105278</v>
      </c>
      <c r="C1994" s="4" t="s">
        <v>25</v>
      </c>
      <c r="D1994" s="4" t="str">
        <f>"胡皇芳"</f>
        <v>胡皇芳</v>
      </c>
      <c r="E1994" s="4" t="str">
        <f aca="true" t="shared" si="96" ref="E1994:E2051">"女"</f>
        <v>女</v>
      </c>
    </row>
    <row r="1995" spans="1:5" ht="30" customHeight="1">
      <c r="A1995" s="4">
        <v>1993</v>
      </c>
      <c r="B1995" s="4" t="str">
        <f>"397120220607114400105280"</f>
        <v>397120220607114400105280</v>
      </c>
      <c r="C1995" s="4" t="s">
        <v>25</v>
      </c>
      <c r="D1995" s="4" t="str">
        <f>"郭坤女"</f>
        <v>郭坤女</v>
      </c>
      <c r="E1995" s="4" t="str">
        <f t="shared" si="96"/>
        <v>女</v>
      </c>
    </row>
    <row r="1996" spans="1:5" ht="30" customHeight="1">
      <c r="A1996" s="4">
        <v>1994</v>
      </c>
      <c r="B1996" s="4" t="str">
        <f>"397120220607115330105371"</f>
        <v>397120220607115330105371</v>
      </c>
      <c r="C1996" s="4" t="s">
        <v>25</v>
      </c>
      <c r="D1996" s="4" t="str">
        <f>"周秀阳"</f>
        <v>周秀阳</v>
      </c>
      <c r="E1996" s="4" t="str">
        <f t="shared" si="96"/>
        <v>女</v>
      </c>
    </row>
    <row r="1997" spans="1:5" ht="30" customHeight="1">
      <c r="A1997" s="4">
        <v>1995</v>
      </c>
      <c r="B1997" s="4" t="str">
        <f>"397120220607121436105550"</f>
        <v>397120220607121436105550</v>
      </c>
      <c r="C1997" s="4" t="s">
        <v>25</v>
      </c>
      <c r="D1997" s="4" t="str">
        <f>"邓光花"</f>
        <v>邓光花</v>
      </c>
      <c r="E1997" s="4" t="str">
        <f t="shared" si="96"/>
        <v>女</v>
      </c>
    </row>
    <row r="1998" spans="1:5" ht="30" customHeight="1">
      <c r="A1998" s="4">
        <v>1996</v>
      </c>
      <c r="B1998" s="4" t="str">
        <f>"397120220607121746105568"</f>
        <v>397120220607121746105568</v>
      </c>
      <c r="C1998" s="4" t="s">
        <v>25</v>
      </c>
      <c r="D1998" s="4" t="str">
        <f>"郑晓莹"</f>
        <v>郑晓莹</v>
      </c>
      <c r="E1998" s="4" t="str">
        <f t="shared" si="96"/>
        <v>女</v>
      </c>
    </row>
    <row r="1999" spans="1:5" ht="30" customHeight="1">
      <c r="A1999" s="4">
        <v>1997</v>
      </c>
      <c r="B1999" s="4" t="str">
        <f>"397120220607122609105631"</f>
        <v>397120220607122609105631</v>
      </c>
      <c r="C1999" s="4" t="s">
        <v>25</v>
      </c>
      <c r="D1999" s="4" t="str">
        <f>"庞惠方"</f>
        <v>庞惠方</v>
      </c>
      <c r="E1999" s="4" t="str">
        <f t="shared" si="96"/>
        <v>女</v>
      </c>
    </row>
    <row r="2000" spans="1:5" ht="30" customHeight="1">
      <c r="A2000" s="4">
        <v>1998</v>
      </c>
      <c r="B2000" s="4" t="str">
        <f>"397120220607123505105701"</f>
        <v>397120220607123505105701</v>
      </c>
      <c r="C2000" s="4" t="s">
        <v>25</v>
      </c>
      <c r="D2000" s="4" t="str">
        <f>"李婉君"</f>
        <v>李婉君</v>
      </c>
      <c r="E2000" s="4" t="str">
        <f t="shared" si="96"/>
        <v>女</v>
      </c>
    </row>
    <row r="2001" spans="1:5" ht="30" customHeight="1">
      <c r="A2001" s="4">
        <v>1999</v>
      </c>
      <c r="B2001" s="4" t="str">
        <f>"397120220607132218106046"</f>
        <v>397120220607132218106046</v>
      </c>
      <c r="C2001" s="4" t="s">
        <v>25</v>
      </c>
      <c r="D2001" s="4" t="str">
        <f>"李敏"</f>
        <v>李敏</v>
      </c>
      <c r="E2001" s="4" t="str">
        <f t="shared" si="96"/>
        <v>女</v>
      </c>
    </row>
    <row r="2002" spans="1:5" ht="30" customHeight="1">
      <c r="A2002" s="4">
        <v>2000</v>
      </c>
      <c r="B2002" s="4" t="str">
        <f>"397120220607134705106213"</f>
        <v>397120220607134705106213</v>
      </c>
      <c r="C2002" s="4" t="s">
        <v>25</v>
      </c>
      <c r="D2002" s="4" t="str">
        <f>"王凤丹"</f>
        <v>王凤丹</v>
      </c>
      <c r="E2002" s="4" t="str">
        <f t="shared" si="96"/>
        <v>女</v>
      </c>
    </row>
    <row r="2003" spans="1:5" ht="30" customHeight="1">
      <c r="A2003" s="4">
        <v>2001</v>
      </c>
      <c r="B2003" s="4" t="str">
        <f>"397120220607141026106345"</f>
        <v>397120220607141026106345</v>
      </c>
      <c r="C2003" s="4" t="s">
        <v>25</v>
      </c>
      <c r="D2003" s="4" t="str">
        <f>"李京栗"</f>
        <v>李京栗</v>
      </c>
      <c r="E2003" s="4" t="str">
        <f t="shared" si="96"/>
        <v>女</v>
      </c>
    </row>
    <row r="2004" spans="1:5" ht="30" customHeight="1">
      <c r="A2004" s="4">
        <v>2002</v>
      </c>
      <c r="B2004" s="4" t="str">
        <f>"397120220607143313106508"</f>
        <v>397120220607143313106508</v>
      </c>
      <c r="C2004" s="4" t="s">
        <v>25</v>
      </c>
      <c r="D2004" s="4" t="str">
        <f>"刘冬梅"</f>
        <v>刘冬梅</v>
      </c>
      <c r="E2004" s="4" t="str">
        <f t="shared" si="96"/>
        <v>女</v>
      </c>
    </row>
    <row r="2005" spans="1:5" ht="30" customHeight="1">
      <c r="A2005" s="4">
        <v>2003</v>
      </c>
      <c r="B2005" s="4" t="str">
        <f>"397120220607145045106652"</f>
        <v>397120220607145045106652</v>
      </c>
      <c r="C2005" s="4" t="s">
        <v>25</v>
      </c>
      <c r="D2005" s="4" t="str">
        <f>"蓝雪芸"</f>
        <v>蓝雪芸</v>
      </c>
      <c r="E2005" s="4" t="str">
        <f t="shared" si="96"/>
        <v>女</v>
      </c>
    </row>
    <row r="2006" spans="1:5" ht="30" customHeight="1">
      <c r="A2006" s="4">
        <v>2004</v>
      </c>
      <c r="B2006" s="4" t="str">
        <f>"397120220607145454106695"</f>
        <v>397120220607145454106695</v>
      </c>
      <c r="C2006" s="4" t="s">
        <v>25</v>
      </c>
      <c r="D2006" s="4" t="str">
        <f>"符晓颖"</f>
        <v>符晓颖</v>
      </c>
      <c r="E2006" s="4" t="str">
        <f t="shared" si="96"/>
        <v>女</v>
      </c>
    </row>
    <row r="2007" spans="1:5" ht="30" customHeight="1">
      <c r="A2007" s="4">
        <v>2005</v>
      </c>
      <c r="B2007" s="4" t="str">
        <f>"397120220607145728106720"</f>
        <v>397120220607145728106720</v>
      </c>
      <c r="C2007" s="4" t="s">
        <v>25</v>
      </c>
      <c r="D2007" s="4" t="str">
        <f>"陈丹"</f>
        <v>陈丹</v>
      </c>
      <c r="E2007" s="4" t="str">
        <f t="shared" si="96"/>
        <v>女</v>
      </c>
    </row>
    <row r="2008" spans="1:5" ht="30" customHeight="1">
      <c r="A2008" s="4">
        <v>2006</v>
      </c>
      <c r="B2008" s="4" t="str">
        <f>"397120220607150415106777"</f>
        <v>397120220607150415106777</v>
      </c>
      <c r="C2008" s="4" t="s">
        <v>25</v>
      </c>
      <c r="D2008" s="4" t="str">
        <f>"周文"</f>
        <v>周文</v>
      </c>
      <c r="E2008" s="4" t="str">
        <f t="shared" si="96"/>
        <v>女</v>
      </c>
    </row>
    <row r="2009" spans="1:5" ht="30" customHeight="1">
      <c r="A2009" s="4">
        <v>2007</v>
      </c>
      <c r="B2009" s="4" t="str">
        <f>"397120220607150437106780"</f>
        <v>397120220607150437106780</v>
      </c>
      <c r="C2009" s="4" t="s">
        <v>25</v>
      </c>
      <c r="D2009" s="4" t="str">
        <f>"郭浩梦"</f>
        <v>郭浩梦</v>
      </c>
      <c r="E2009" s="4" t="str">
        <f t="shared" si="96"/>
        <v>女</v>
      </c>
    </row>
    <row r="2010" spans="1:5" ht="30" customHeight="1">
      <c r="A2010" s="4">
        <v>2008</v>
      </c>
      <c r="B2010" s="4" t="str">
        <f>"397120220607150852106831"</f>
        <v>397120220607150852106831</v>
      </c>
      <c r="C2010" s="4" t="s">
        <v>25</v>
      </c>
      <c r="D2010" s="4" t="str">
        <f>"曾芝兰"</f>
        <v>曾芝兰</v>
      </c>
      <c r="E2010" s="4" t="str">
        <f t="shared" si="96"/>
        <v>女</v>
      </c>
    </row>
    <row r="2011" spans="1:5" ht="30" customHeight="1">
      <c r="A2011" s="4">
        <v>2009</v>
      </c>
      <c r="B2011" s="4" t="str">
        <f>"397120220607152107106966"</f>
        <v>397120220607152107106966</v>
      </c>
      <c r="C2011" s="4" t="s">
        <v>25</v>
      </c>
      <c r="D2011" s="4" t="str">
        <f>"杨婷"</f>
        <v>杨婷</v>
      </c>
      <c r="E2011" s="4" t="str">
        <f t="shared" si="96"/>
        <v>女</v>
      </c>
    </row>
    <row r="2012" spans="1:5" ht="30" customHeight="1">
      <c r="A2012" s="4">
        <v>2010</v>
      </c>
      <c r="B2012" s="4" t="str">
        <f>"397120220607152159106977"</f>
        <v>397120220607152159106977</v>
      </c>
      <c r="C2012" s="4" t="s">
        <v>25</v>
      </c>
      <c r="D2012" s="4" t="str">
        <f>"许宇雪"</f>
        <v>许宇雪</v>
      </c>
      <c r="E2012" s="4" t="str">
        <f t="shared" si="96"/>
        <v>女</v>
      </c>
    </row>
    <row r="2013" spans="1:5" ht="30" customHeight="1">
      <c r="A2013" s="4">
        <v>2011</v>
      </c>
      <c r="B2013" s="4" t="str">
        <f>"397120220607152210106978"</f>
        <v>397120220607152210106978</v>
      </c>
      <c r="C2013" s="4" t="s">
        <v>25</v>
      </c>
      <c r="D2013" s="4" t="str">
        <f>"郑亚利"</f>
        <v>郑亚利</v>
      </c>
      <c r="E2013" s="4" t="str">
        <f t="shared" si="96"/>
        <v>女</v>
      </c>
    </row>
    <row r="2014" spans="1:5" ht="30" customHeight="1">
      <c r="A2014" s="4">
        <v>2012</v>
      </c>
      <c r="B2014" s="4" t="str">
        <f>"397120220607155445107338"</f>
        <v>397120220607155445107338</v>
      </c>
      <c r="C2014" s="4" t="s">
        <v>25</v>
      </c>
      <c r="D2014" s="4" t="str">
        <f>"麻晶晶"</f>
        <v>麻晶晶</v>
      </c>
      <c r="E2014" s="4" t="str">
        <f t="shared" si="96"/>
        <v>女</v>
      </c>
    </row>
    <row r="2015" spans="1:5" ht="30" customHeight="1">
      <c r="A2015" s="4">
        <v>2013</v>
      </c>
      <c r="B2015" s="4" t="str">
        <f>"397120220607155651107359"</f>
        <v>397120220607155651107359</v>
      </c>
      <c r="C2015" s="4" t="s">
        <v>25</v>
      </c>
      <c r="D2015" s="4" t="str">
        <f>"莫小芳"</f>
        <v>莫小芳</v>
      </c>
      <c r="E2015" s="4" t="str">
        <f t="shared" si="96"/>
        <v>女</v>
      </c>
    </row>
    <row r="2016" spans="1:5" ht="30" customHeight="1">
      <c r="A2016" s="4">
        <v>2014</v>
      </c>
      <c r="B2016" s="4" t="str">
        <f>"397120220607155706107362"</f>
        <v>397120220607155706107362</v>
      </c>
      <c r="C2016" s="4" t="s">
        <v>25</v>
      </c>
      <c r="D2016" s="4" t="str">
        <f>"朱奕霞"</f>
        <v>朱奕霞</v>
      </c>
      <c r="E2016" s="4" t="str">
        <f t="shared" si="96"/>
        <v>女</v>
      </c>
    </row>
    <row r="2017" spans="1:5" ht="30" customHeight="1">
      <c r="A2017" s="4">
        <v>2015</v>
      </c>
      <c r="B2017" s="4" t="str">
        <f>"397120220607161037107514"</f>
        <v>397120220607161037107514</v>
      </c>
      <c r="C2017" s="4" t="s">
        <v>25</v>
      </c>
      <c r="D2017" s="4" t="str">
        <f>"陈宏莲"</f>
        <v>陈宏莲</v>
      </c>
      <c r="E2017" s="4" t="str">
        <f t="shared" si="96"/>
        <v>女</v>
      </c>
    </row>
    <row r="2018" spans="1:5" ht="30" customHeight="1">
      <c r="A2018" s="4">
        <v>2016</v>
      </c>
      <c r="B2018" s="4" t="str">
        <f>"397120220607161437107559"</f>
        <v>397120220607161437107559</v>
      </c>
      <c r="C2018" s="4" t="s">
        <v>25</v>
      </c>
      <c r="D2018" s="4" t="str">
        <f>"黄丽燕"</f>
        <v>黄丽燕</v>
      </c>
      <c r="E2018" s="4" t="str">
        <f t="shared" si="96"/>
        <v>女</v>
      </c>
    </row>
    <row r="2019" spans="1:5" ht="30" customHeight="1">
      <c r="A2019" s="4">
        <v>2017</v>
      </c>
      <c r="B2019" s="4" t="str">
        <f>"397120220607162313107654"</f>
        <v>397120220607162313107654</v>
      </c>
      <c r="C2019" s="4" t="s">
        <v>25</v>
      </c>
      <c r="D2019" s="4" t="str">
        <f>"郭皇妹"</f>
        <v>郭皇妹</v>
      </c>
      <c r="E2019" s="4" t="str">
        <f t="shared" si="96"/>
        <v>女</v>
      </c>
    </row>
    <row r="2020" spans="1:5" ht="30" customHeight="1">
      <c r="A2020" s="4">
        <v>2018</v>
      </c>
      <c r="B2020" s="4" t="str">
        <f>"397120220607164307107843"</f>
        <v>397120220607164307107843</v>
      </c>
      <c r="C2020" s="4" t="s">
        <v>25</v>
      </c>
      <c r="D2020" s="4" t="str">
        <f>"张小妹"</f>
        <v>张小妹</v>
      </c>
      <c r="E2020" s="4" t="str">
        <f t="shared" si="96"/>
        <v>女</v>
      </c>
    </row>
    <row r="2021" spans="1:5" ht="30" customHeight="1">
      <c r="A2021" s="4">
        <v>2019</v>
      </c>
      <c r="B2021" s="4" t="str">
        <f>"397120220607173157108279"</f>
        <v>397120220607173157108279</v>
      </c>
      <c r="C2021" s="4" t="s">
        <v>25</v>
      </c>
      <c r="D2021" s="4" t="str">
        <f>"王慧琳"</f>
        <v>王慧琳</v>
      </c>
      <c r="E2021" s="4" t="str">
        <f t="shared" si="96"/>
        <v>女</v>
      </c>
    </row>
    <row r="2022" spans="1:5" ht="30" customHeight="1">
      <c r="A2022" s="4">
        <v>2020</v>
      </c>
      <c r="B2022" s="4" t="str">
        <f>"397120220607173446108303"</f>
        <v>397120220607173446108303</v>
      </c>
      <c r="C2022" s="4" t="s">
        <v>25</v>
      </c>
      <c r="D2022" s="4" t="str">
        <f>"吕珊伟"</f>
        <v>吕珊伟</v>
      </c>
      <c r="E2022" s="4" t="str">
        <f t="shared" si="96"/>
        <v>女</v>
      </c>
    </row>
    <row r="2023" spans="1:5" ht="30" customHeight="1">
      <c r="A2023" s="4">
        <v>2021</v>
      </c>
      <c r="B2023" s="4" t="str">
        <f>"397120220607174737108389"</f>
        <v>397120220607174737108389</v>
      </c>
      <c r="C2023" s="4" t="s">
        <v>25</v>
      </c>
      <c r="D2023" s="4" t="str">
        <f>"李秋灵"</f>
        <v>李秋灵</v>
      </c>
      <c r="E2023" s="4" t="str">
        <f t="shared" si="96"/>
        <v>女</v>
      </c>
    </row>
    <row r="2024" spans="1:5" ht="30" customHeight="1">
      <c r="A2024" s="4">
        <v>2022</v>
      </c>
      <c r="B2024" s="4" t="str">
        <f>"397120220607180112108484"</f>
        <v>397120220607180112108484</v>
      </c>
      <c r="C2024" s="4" t="s">
        <v>25</v>
      </c>
      <c r="D2024" s="4" t="str">
        <f>"周晶晶"</f>
        <v>周晶晶</v>
      </c>
      <c r="E2024" s="4" t="str">
        <f t="shared" si="96"/>
        <v>女</v>
      </c>
    </row>
    <row r="2025" spans="1:5" ht="30" customHeight="1">
      <c r="A2025" s="4">
        <v>2023</v>
      </c>
      <c r="B2025" s="4" t="str">
        <f>"397120220607180852108536"</f>
        <v>397120220607180852108536</v>
      </c>
      <c r="C2025" s="4" t="s">
        <v>25</v>
      </c>
      <c r="D2025" s="4" t="str">
        <f>"郑传男"</f>
        <v>郑传男</v>
      </c>
      <c r="E2025" s="4" t="str">
        <f t="shared" si="96"/>
        <v>女</v>
      </c>
    </row>
    <row r="2026" spans="1:5" ht="30" customHeight="1">
      <c r="A2026" s="4">
        <v>2024</v>
      </c>
      <c r="B2026" s="4" t="str">
        <f>"397120220607182054108612"</f>
        <v>397120220607182054108612</v>
      </c>
      <c r="C2026" s="4" t="s">
        <v>25</v>
      </c>
      <c r="D2026" s="4" t="str">
        <f>"王梦"</f>
        <v>王梦</v>
      </c>
      <c r="E2026" s="4" t="str">
        <f t="shared" si="96"/>
        <v>女</v>
      </c>
    </row>
    <row r="2027" spans="1:5" ht="30" customHeight="1">
      <c r="A2027" s="4">
        <v>2025</v>
      </c>
      <c r="B2027" s="4" t="str">
        <f>"397120220607183404108690"</f>
        <v>397120220607183404108690</v>
      </c>
      <c r="C2027" s="4" t="s">
        <v>25</v>
      </c>
      <c r="D2027" s="4" t="str">
        <f>"冯晓静"</f>
        <v>冯晓静</v>
      </c>
      <c r="E2027" s="4" t="str">
        <f t="shared" si="96"/>
        <v>女</v>
      </c>
    </row>
    <row r="2028" spans="1:5" ht="30" customHeight="1">
      <c r="A2028" s="4">
        <v>2026</v>
      </c>
      <c r="B2028" s="4" t="str">
        <f>"397120220607191838108931"</f>
        <v>397120220607191838108931</v>
      </c>
      <c r="C2028" s="4" t="s">
        <v>25</v>
      </c>
      <c r="D2028" s="4" t="str">
        <f>"梁晨诗"</f>
        <v>梁晨诗</v>
      </c>
      <c r="E2028" s="4" t="str">
        <f t="shared" si="96"/>
        <v>女</v>
      </c>
    </row>
    <row r="2029" spans="1:5" ht="30" customHeight="1">
      <c r="A2029" s="4">
        <v>2027</v>
      </c>
      <c r="B2029" s="4" t="str">
        <f>"397120220607193957109074"</f>
        <v>397120220607193957109074</v>
      </c>
      <c r="C2029" s="4" t="s">
        <v>25</v>
      </c>
      <c r="D2029" s="4" t="str">
        <f>"王媛媛"</f>
        <v>王媛媛</v>
      </c>
      <c r="E2029" s="4" t="str">
        <f t="shared" si="96"/>
        <v>女</v>
      </c>
    </row>
    <row r="2030" spans="1:5" ht="30" customHeight="1">
      <c r="A2030" s="4">
        <v>2028</v>
      </c>
      <c r="B2030" s="4" t="str">
        <f>"397120220607201233109270"</f>
        <v>397120220607201233109270</v>
      </c>
      <c r="C2030" s="4" t="s">
        <v>25</v>
      </c>
      <c r="D2030" s="4" t="str">
        <f>"纪少兀"</f>
        <v>纪少兀</v>
      </c>
      <c r="E2030" s="4" t="str">
        <f t="shared" si="96"/>
        <v>女</v>
      </c>
    </row>
    <row r="2031" spans="1:5" ht="30" customHeight="1">
      <c r="A2031" s="4">
        <v>2029</v>
      </c>
      <c r="B2031" s="4" t="str">
        <f>"397120220607203046109372"</f>
        <v>397120220607203046109372</v>
      </c>
      <c r="C2031" s="4" t="s">
        <v>25</v>
      </c>
      <c r="D2031" s="4" t="str">
        <f>"陈南燕"</f>
        <v>陈南燕</v>
      </c>
      <c r="E2031" s="4" t="str">
        <f t="shared" si="96"/>
        <v>女</v>
      </c>
    </row>
    <row r="2032" spans="1:5" ht="30" customHeight="1">
      <c r="A2032" s="4">
        <v>2030</v>
      </c>
      <c r="B2032" s="4" t="str">
        <f>"397120220607204148109457"</f>
        <v>397120220607204148109457</v>
      </c>
      <c r="C2032" s="4" t="s">
        <v>25</v>
      </c>
      <c r="D2032" s="4" t="str">
        <f>"李莹影"</f>
        <v>李莹影</v>
      </c>
      <c r="E2032" s="4" t="str">
        <f t="shared" si="96"/>
        <v>女</v>
      </c>
    </row>
    <row r="2033" spans="1:5" ht="30" customHeight="1">
      <c r="A2033" s="4">
        <v>2031</v>
      </c>
      <c r="B2033" s="4" t="str">
        <f>"397120220607204747109500"</f>
        <v>397120220607204747109500</v>
      </c>
      <c r="C2033" s="4" t="s">
        <v>25</v>
      </c>
      <c r="D2033" s="4" t="str">
        <f>"陈云倩"</f>
        <v>陈云倩</v>
      </c>
      <c r="E2033" s="4" t="str">
        <f t="shared" si="96"/>
        <v>女</v>
      </c>
    </row>
    <row r="2034" spans="1:5" ht="30" customHeight="1">
      <c r="A2034" s="4">
        <v>2032</v>
      </c>
      <c r="B2034" s="4" t="str">
        <f>"397120220607210526109629"</f>
        <v>397120220607210526109629</v>
      </c>
      <c r="C2034" s="4" t="s">
        <v>25</v>
      </c>
      <c r="D2034" s="4" t="str">
        <f>"韩春蝶"</f>
        <v>韩春蝶</v>
      </c>
      <c r="E2034" s="4" t="str">
        <f t="shared" si="96"/>
        <v>女</v>
      </c>
    </row>
    <row r="2035" spans="1:5" ht="30" customHeight="1">
      <c r="A2035" s="4">
        <v>2033</v>
      </c>
      <c r="B2035" s="4" t="str">
        <f>"397120220607210933109664"</f>
        <v>397120220607210933109664</v>
      </c>
      <c r="C2035" s="4" t="s">
        <v>25</v>
      </c>
      <c r="D2035" s="4" t="str">
        <f>"郑春恋"</f>
        <v>郑春恋</v>
      </c>
      <c r="E2035" s="4" t="str">
        <f t="shared" si="96"/>
        <v>女</v>
      </c>
    </row>
    <row r="2036" spans="1:5" ht="30" customHeight="1">
      <c r="A2036" s="4">
        <v>2034</v>
      </c>
      <c r="B2036" s="4" t="str">
        <f>"397120220607211244109694"</f>
        <v>397120220607211244109694</v>
      </c>
      <c r="C2036" s="4" t="s">
        <v>25</v>
      </c>
      <c r="D2036" s="4" t="str">
        <f>"徐丽娜"</f>
        <v>徐丽娜</v>
      </c>
      <c r="E2036" s="4" t="str">
        <f t="shared" si="96"/>
        <v>女</v>
      </c>
    </row>
    <row r="2037" spans="1:5" ht="30" customHeight="1">
      <c r="A2037" s="4">
        <v>2035</v>
      </c>
      <c r="B2037" s="4" t="str">
        <f>"397120220607211742109740"</f>
        <v>397120220607211742109740</v>
      </c>
      <c r="C2037" s="4" t="s">
        <v>25</v>
      </c>
      <c r="D2037" s="4" t="str">
        <f>"蔡妙"</f>
        <v>蔡妙</v>
      </c>
      <c r="E2037" s="4" t="str">
        <f t="shared" si="96"/>
        <v>女</v>
      </c>
    </row>
    <row r="2038" spans="1:5" ht="30" customHeight="1">
      <c r="A2038" s="4">
        <v>2036</v>
      </c>
      <c r="B2038" s="4" t="str">
        <f>"397120220607214915109975"</f>
        <v>397120220607214915109975</v>
      </c>
      <c r="C2038" s="4" t="s">
        <v>25</v>
      </c>
      <c r="D2038" s="4" t="str">
        <f>"吴艳"</f>
        <v>吴艳</v>
      </c>
      <c r="E2038" s="4" t="str">
        <f t="shared" si="96"/>
        <v>女</v>
      </c>
    </row>
    <row r="2039" spans="1:5" ht="30" customHeight="1">
      <c r="A2039" s="4">
        <v>2037</v>
      </c>
      <c r="B2039" s="4" t="str">
        <f>"397120220607214934109977"</f>
        <v>397120220607214934109977</v>
      </c>
      <c r="C2039" s="4" t="s">
        <v>25</v>
      </c>
      <c r="D2039" s="4" t="str">
        <f>"孟海岸"</f>
        <v>孟海岸</v>
      </c>
      <c r="E2039" s="4" t="str">
        <f t="shared" si="96"/>
        <v>女</v>
      </c>
    </row>
    <row r="2040" spans="1:5" ht="30" customHeight="1">
      <c r="A2040" s="4">
        <v>2038</v>
      </c>
      <c r="B2040" s="4" t="str">
        <f>"397120220607215704110026"</f>
        <v>397120220607215704110026</v>
      </c>
      <c r="C2040" s="4" t="s">
        <v>25</v>
      </c>
      <c r="D2040" s="4" t="str">
        <f>"唐珊珊"</f>
        <v>唐珊珊</v>
      </c>
      <c r="E2040" s="4" t="str">
        <f t="shared" si="96"/>
        <v>女</v>
      </c>
    </row>
    <row r="2041" spans="1:5" ht="30" customHeight="1">
      <c r="A2041" s="4">
        <v>2039</v>
      </c>
      <c r="B2041" s="4" t="str">
        <f>"397120220607215929110046"</f>
        <v>397120220607215929110046</v>
      </c>
      <c r="C2041" s="4" t="s">
        <v>25</v>
      </c>
      <c r="D2041" s="4" t="str">
        <f>"冯晓"</f>
        <v>冯晓</v>
      </c>
      <c r="E2041" s="4" t="str">
        <f t="shared" si="96"/>
        <v>女</v>
      </c>
    </row>
    <row r="2042" spans="1:5" ht="30" customHeight="1">
      <c r="A2042" s="4">
        <v>2040</v>
      </c>
      <c r="B2042" s="4" t="str">
        <f>"397120220607221712110163"</f>
        <v>397120220607221712110163</v>
      </c>
      <c r="C2042" s="4" t="s">
        <v>25</v>
      </c>
      <c r="D2042" s="4" t="str">
        <f>"魏玉"</f>
        <v>魏玉</v>
      </c>
      <c r="E2042" s="4" t="str">
        <f t="shared" si="96"/>
        <v>女</v>
      </c>
    </row>
    <row r="2043" spans="1:5" ht="30" customHeight="1">
      <c r="A2043" s="4">
        <v>2041</v>
      </c>
      <c r="B2043" s="4" t="str">
        <f>"397120220607222526110220"</f>
        <v>397120220607222526110220</v>
      </c>
      <c r="C2043" s="4" t="s">
        <v>25</v>
      </c>
      <c r="D2043" s="4" t="str">
        <f>"王声佩"</f>
        <v>王声佩</v>
      </c>
      <c r="E2043" s="4" t="str">
        <f t="shared" si="96"/>
        <v>女</v>
      </c>
    </row>
    <row r="2044" spans="1:5" ht="30" customHeight="1">
      <c r="A2044" s="4">
        <v>2042</v>
      </c>
      <c r="B2044" s="4" t="str">
        <f>"397120220607223057110266"</f>
        <v>397120220607223057110266</v>
      </c>
      <c r="C2044" s="4" t="s">
        <v>25</v>
      </c>
      <c r="D2044" s="4" t="str">
        <f>"纪金玉"</f>
        <v>纪金玉</v>
      </c>
      <c r="E2044" s="4" t="str">
        <f t="shared" si="96"/>
        <v>女</v>
      </c>
    </row>
    <row r="2045" spans="1:5" ht="30" customHeight="1">
      <c r="A2045" s="4">
        <v>2043</v>
      </c>
      <c r="B2045" s="4" t="str">
        <f>"397120220607224221110330"</f>
        <v>397120220607224221110330</v>
      </c>
      <c r="C2045" s="4" t="s">
        <v>25</v>
      </c>
      <c r="D2045" s="4" t="str">
        <f>"王英云"</f>
        <v>王英云</v>
      </c>
      <c r="E2045" s="4" t="str">
        <f t="shared" si="96"/>
        <v>女</v>
      </c>
    </row>
    <row r="2046" spans="1:5" ht="30" customHeight="1">
      <c r="A2046" s="4">
        <v>2044</v>
      </c>
      <c r="B2046" s="4" t="str">
        <f>"397120220607225159110375"</f>
        <v>397120220607225159110375</v>
      </c>
      <c r="C2046" s="4" t="s">
        <v>25</v>
      </c>
      <c r="D2046" s="4" t="str">
        <f>"吴晓颜"</f>
        <v>吴晓颜</v>
      </c>
      <c r="E2046" s="4" t="str">
        <f t="shared" si="96"/>
        <v>女</v>
      </c>
    </row>
    <row r="2047" spans="1:5" ht="30" customHeight="1">
      <c r="A2047" s="4">
        <v>2045</v>
      </c>
      <c r="B2047" s="4" t="str">
        <f>"397120220607225555110409"</f>
        <v>397120220607225555110409</v>
      </c>
      <c r="C2047" s="4" t="s">
        <v>25</v>
      </c>
      <c r="D2047" s="4" t="str">
        <f>"冯希"</f>
        <v>冯希</v>
      </c>
      <c r="E2047" s="4" t="str">
        <f t="shared" si="96"/>
        <v>女</v>
      </c>
    </row>
    <row r="2048" spans="1:5" ht="30" customHeight="1">
      <c r="A2048" s="4">
        <v>2046</v>
      </c>
      <c r="B2048" s="4" t="str">
        <f>"397120220608064204110780"</f>
        <v>397120220608064204110780</v>
      </c>
      <c r="C2048" s="4" t="s">
        <v>25</v>
      </c>
      <c r="D2048" s="4" t="str">
        <f>"陈茜茜"</f>
        <v>陈茜茜</v>
      </c>
      <c r="E2048" s="4" t="str">
        <f t="shared" si="96"/>
        <v>女</v>
      </c>
    </row>
    <row r="2049" spans="1:5" ht="30" customHeight="1">
      <c r="A2049" s="4">
        <v>2047</v>
      </c>
      <c r="B2049" s="4" t="str">
        <f>"397120220608075921110858"</f>
        <v>397120220608075921110858</v>
      </c>
      <c r="C2049" s="4" t="s">
        <v>25</v>
      </c>
      <c r="D2049" s="4" t="str">
        <f>"梁冬苗"</f>
        <v>梁冬苗</v>
      </c>
      <c r="E2049" s="4" t="str">
        <f t="shared" si="96"/>
        <v>女</v>
      </c>
    </row>
    <row r="2050" spans="1:5" ht="30" customHeight="1">
      <c r="A2050" s="4">
        <v>2048</v>
      </c>
      <c r="B2050" s="4" t="str">
        <f>"397120220608080257110867"</f>
        <v>397120220608080257110867</v>
      </c>
      <c r="C2050" s="4" t="s">
        <v>25</v>
      </c>
      <c r="D2050" s="4" t="str">
        <f>"周嘉琪"</f>
        <v>周嘉琪</v>
      </c>
      <c r="E2050" s="4" t="str">
        <f t="shared" si="96"/>
        <v>女</v>
      </c>
    </row>
    <row r="2051" spans="1:5" ht="30" customHeight="1">
      <c r="A2051" s="4">
        <v>2049</v>
      </c>
      <c r="B2051" s="4" t="str">
        <f>"397120220608105921112224"</f>
        <v>397120220608105921112224</v>
      </c>
      <c r="C2051" s="4" t="s">
        <v>25</v>
      </c>
      <c r="D2051" s="4" t="str">
        <f>"古松龄"</f>
        <v>古松龄</v>
      </c>
      <c r="E2051" s="4" t="str">
        <f t="shared" si="96"/>
        <v>女</v>
      </c>
    </row>
    <row r="2052" spans="1:5" ht="30" customHeight="1">
      <c r="A2052" s="4">
        <v>2050</v>
      </c>
      <c r="B2052" s="4" t="str">
        <f>"39712022060109172878332"</f>
        <v>39712022060109172878332</v>
      </c>
      <c r="C2052" s="4" t="s">
        <v>26</v>
      </c>
      <c r="D2052" s="4" t="str">
        <f>"李南健"</f>
        <v>李南健</v>
      </c>
      <c r="E2052" s="4" t="str">
        <f>"男"</f>
        <v>男</v>
      </c>
    </row>
    <row r="2053" spans="1:5" ht="30" customHeight="1">
      <c r="A2053" s="4">
        <v>2051</v>
      </c>
      <c r="B2053" s="4" t="str">
        <f>"39712022060109213278379"</f>
        <v>39712022060109213278379</v>
      </c>
      <c r="C2053" s="4" t="s">
        <v>26</v>
      </c>
      <c r="D2053" s="4" t="str">
        <f>"陈益浮"</f>
        <v>陈益浮</v>
      </c>
      <c r="E2053" s="4" t="str">
        <f>"男"</f>
        <v>男</v>
      </c>
    </row>
    <row r="2054" spans="1:5" ht="30" customHeight="1">
      <c r="A2054" s="4">
        <v>2052</v>
      </c>
      <c r="B2054" s="4" t="str">
        <f>"39712022060109375578518"</f>
        <v>39712022060109375578518</v>
      </c>
      <c r="C2054" s="4" t="s">
        <v>26</v>
      </c>
      <c r="D2054" s="4" t="str">
        <f>"郭泽权"</f>
        <v>郭泽权</v>
      </c>
      <c r="E2054" s="4" t="str">
        <f>"男"</f>
        <v>男</v>
      </c>
    </row>
    <row r="2055" spans="1:5" ht="30" customHeight="1">
      <c r="A2055" s="4">
        <v>2053</v>
      </c>
      <c r="B2055" s="4" t="str">
        <f>"39712022060109493078624"</f>
        <v>39712022060109493078624</v>
      </c>
      <c r="C2055" s="4" t="s">
        <v>26</v>
      </c>
      <c r="D2055" s="4" t="str">
        <f>"梁彩莲"</f>
        <v>梁彩莲</v>
      </c>
      <c r="E2055" s="4" t="str">
        <f>"女"</f>
        <v>女</v>
      </c>
    </row>
    <row r="2056" spans="1:5" ht="30" customHeight="1">
      <c r="A2056" s="4">
        <v>2054</v>
      </c>
      <c r="B2056" s="4" t="str">
        <f>"39712022060110315978968"</f>
        <v>39712022060110315978968</v>
      </c>
      <c r="C2056" s="4" t="s">
        <v>26</v>
      </c>
      <c r="D2056" s="4" t="str">
        <f>"何纯宝"</f>
        <v>何纯宝</v>
      </c>
      <c r="E2056" s="4" t="str">
        <f>"男"</f>
        <v>男</v>
      </c>
    </row>
    <row r="2057" spans="1:5" ht="30" customHeight="1">
      <c r="A2057" s="4">
        <v>2055</v>
      </c>
      <c r="B2057" s="4" t="str">
        <f>"39712022060110361279006"</f>
        <v>39712022060110361279006</v>
      </c>
      <c r="C2057" s="4" t="s">
        <v>26</v>
      </c>
      <c r="D2057" s="4" t="str">
        <f>"羊为俊"</f>
        <v>羊为俊</v>
      </c>
      <c r="E2057" s="4" t="str">
        <f>"男"</f>
        <v>男</v>
      </c>
    </row>
    <row r="2058" spans="1:5" ht="30" customHeight="1">
      <c r="A2058" s="4">
        <v>2056</v>
      </c>
      <c r="B2058" s="4" t="str">
        <f>"39712022060111045179228"</f>
        <v>39712022060111045179228</v>
      </c>
      <c r="C2058" s="4" t="s">
        <v>26</v>
      </c>
      <c r="D2058" s="4" t="str">
        <f>"刘韶旭"</f>
        <v>刘韶旭</v>
      </c>
      <c r="E2058" s="4" t="str">
        <f>"男"</f>
        <v>男</v>
      </c>
    </row>
    <row r="2059" spans="1:5" ht="30" customHeight="1">
      <c r="A2059" s="4">
        <v>2057</v>
      </c>
      <c r="B2059" s="4" t="str">
        <f>"39712022060111300679430"</f>
        <v>39712022060111300679430</v>
      </c>
      <c r="C2059" s="4" t="s">
        <v>26</v>
      </c>
      <c r="D2059" s="4" t="str">
        <f>"张星敏"</f>
        <v>张星敏</v>
      </c>
      <c r="E2059" s="4" t="str">
        <f>"女"</f>
        <v>女</v>
      </c>
    </row>
    <row r="2060" spans="1:5" ht="30" customHeight="1">
      <c r="A2060" s="4">
        <v>2058</v>
      </c>
      <c r="B2060" s="4" t="str">
        <f>"39712022060112025079612"</f>
        <v>39712022060112025079612</v>
      </c>
      <c r="C2060" s="4" t="s">
        <v>26</v>
      </c>
      <c r="D2060" s="4" t="str">
        <f>"李德徐"</f>
        <v>李德徐</v>
      </c>
      <c r="E2060" s="4" t="str">
        <f aca="true" t="shared" si="97" ref="E2060:E2076">"男"</f>
        <v>男</v>
      </c>
    </row>
    <row r="2061" spans="1:5" ht="30" customHeight="1">
      <c r="A2061" s="4">
        <v>2059</v>
      </c>
      <c r="B2061" s="4" t="str">
        <f>"39712022060112515679877"</f>
        <v>39712022060112515679877</v>
      </c>
      <c r="C2061" s="4" t="s">
        <v>26</v>
      </c>
      <c r="D2061" s="4" t="str">
        <f>"苏文友"</f>
        <v>苏文友</v>
      </c>
      <c r="E2061" s="4" t="str">
        <f t="shared" si="97"/>
        <v>男</v>
      </c>
    </row>
    <row r="2062" spans="1:5" ht="30" customHeight="1">
      <c r="A2062" s="4">
        <v>2060</v>
      </c>
      <c r="B2062" s="4" t="str">
        <f>"39712022060113051879947"</f>
        <v>39712022060113051879947</v>
      </c>
      <c r="C2062" s="4" t="s">
        <v>26</v>
      </c>
      <c r="D2062" s="4" t="str">
        <f>"符悦丰"</f>
        <v>符悦丰</v>
      </c>
      <c r="E2062" s="4" t="str">
        <f t="shared" si="97"/>
        <v>男</v>
      </c>
    </row>
    <row r="2063" spans="1:5" ht="30" customHeight="1">
      <c r="A2063" s="4">
        <v>2061</v>
      </c>
      <c r="B2063" s="4" t="str">
        <f>"39712022060113134879988"</f>
        <v>39712022060113134879988</v>
      </c>
      <c r="C2063" s="4" t="s">
        <v>26</v>
      </c>
      <c r="D2063" s="4" t="str">
        <f>"李珏"</f>
        <v>李珏</v>
      </c>
      <c r="E2063" s="4" t="str">
        <f t="shared" si="97"/>
        <v>男</v>
      </c>
    </row>
    <row r="2064" spans="1:5" ht="30" customHeight="1">
      <c r="A2064" s="4">
        <v>2062</v>
      </c>
      <c r="B2064" s="4" t="str">
        <f>"39712022060113341880081"</f>
        <v>39712022060113341880081</v>
      </c>
      <c r="C2064" s="4" t="s">
        <v>26</v>
      </c>
      <c r="D2064" s="4" t="str">
        <f>"赫明哲"</f>
        <v>赫明哲</v>
      </c>
      <c r="E2064" s="4" t="str">
        <f t="shared" si="97"/>
        <v>男</v>
      </c>
    </row>
    <row r="2065" spans="1:5" ht="30" customHeight="1">
      <c r="A2065" s="4">
        <v>2063</v>
      </c>
      <c r="B2065" s="4" t="str">
        <f>"39712022060114190280247"</f>
        <v>39712022060114190280247</v>
      </c>
      <c r="C2065" s="4" t="s">
        <v>26</v>
      </c>
      <c r="D2065" s="4" t="str">
        <f>"戴嘉阳"</f>
        <v>戴嘉阳</v>
      </c>
      <c r="E2065" s="4" t="str">
        <f t="shared" si="97"/>
        <v>男</v>
      </c>
    </row>
    <row r="2066" spans="1:5" ht="30" customHeight="1">
      <c r="A2066" s="4">
        <v>2064</v>
      </c>
      <c r="B2066" s="4" t="str">
        <f>"39712022060114310580288"</f>
        <v>39712022060114310580288</v>
      </c>
      <c r="C2066" s="4" t="s">
        <v>26</v>
      </c>
      <c r="D2066" s="4" t="str">
        <f>"郑宁宇"</f>
        <v>郑宁宇</v>
      </c>
      <c r="E2066" s="4" t="str">
        <f t="shared" si="97"/>
        <v>男</v>
      </c>
    </row>
    <row r="2067" spans="1:5" ht="30" customHeight="1">
      <c r="A2067" s="4">
        <v>2065</v>
      </c>
      <c r="B2067" s="4" t="str">
        <f>"39712022060114445480353"</f>
        <v>39712022060114445480353</v>
      </c>
      <c r="C2067" s="4" t="s">
        <v>26</v>
      </c>
      <c r="D2067" s="4" t="str">
        <f>"李尧"</f>
        <v>李尧</v>
      </c>
      <c r="E2067" s="4" t="str">
        <f t="shared" si="97"/>
        <v>男</v>
      </c>
    </row>
    <row r="2068" spans="1:5" ht="30" customHeight="1">
      <c r="A2068" s="4">
        <v>2066</v>
      </c>
      <c r="B2068" s="4" t="str">
        <f>"39712022060116005380794"</f>
        <v>39712022060116005380794</v>
      </c>
      <c r="C2068" s="4" t="s">
        <v>26</v>
      </c>
      <c r="D2068" s="4" t="str">
        <f>"张天庆"</f>
        <v>张天庆</v>
      </c>
      <c r="E2068" s="4" t="str">
        <f t="shared" si="97"/>
        <v>男</v>
      </c>
    </row>
    <row r="2069" spans="1:5" ht="30" customHeight="1">
      <c r="A2069" s="4">
        <v>2067</v>
      </c>
      <c r="B2069" s="4" t="str">
        <f>"39712022060116075180842"</f>
        <v>39712022060116075180842</v>
      </c>
      <c r="C2069" s="4" t="s">
        <v>26</v>
      </c>
      <c r="D2069" s="4" t="str">
        <f>"吴有祥"</f>
        <v>吴有祥</v>
      </c>
      <c r="E2069" s="4" t="str">
        <f t="shared" si="97"/>
        <v>男</v>
      </c>
    </row>
    <row r="2070" spans="1:5" ht="30" customHeight="1">
      <c r="A2070" s="4">
        <v>2068</v>
      </c>
      <c r="B2070" s="4" t="str">
        <f>"39712022060118331081599"</f>
        <v>39712022060118331081599</v>
      </c>
      <c r="C2070" s="4" t="s">
        <v>26</v>
      </c>
      <c r="D2070" s="4" t="str">
        <f>"邓发欣"</f>
        <v>邓发欣</v>
      </c>
      <c r="E2070" s="4" t="str">
        <f t="shared" si="97"/>
        <v>男</v>
      </c>
    </row>
    <row r="2071" spans="1:5" ht="30" customHeight="1">
      <c r="A2071" s="4">
        <v>2069</v>
      </c>
      <c r="B2071" s="4" t="str">
        <f>"39712022060119204581787"</f>
        <v>39712022060119204581787</v>
      </c>
      <c r="C2071" s="4" t="s">
        <v>26</v>
      </c>
      <c r="D2071" s="4" t="str">
        <f>"郭景海"</f>
        <v>郭景海</v>
      </c>
      <c r="E2071" s="4" t="str">
        <f t="shared" si="97"/>
        <v>男</v>
      </c>
    </row>
    <row r="2072" spans="1:5" ht="30" customHeight="1">
      <c r="A2072" s="4">
        <v>2070</v>
      </c>
      <c r="B2072" s="4" t="str">
        <f>"39712022060119545681931"</f>
        <v>39712022060119545681931</v>
      </c>
      <c r="C2072" s="4" t="s">
        <v>26</v>
      </c>
      <c r="D2072" s="4" t="str">
        <f>"符棉钫"</f>
        <v>符棉钫</v>
      </c>
      <c r="E2072" s="4" t="str">
        <f t="shared" si="97"/>
        <v>男</v>
      </c>
    </row>
    <row r="2073" spans="1:5" ht="30" customHeight="1">
      <c r="A2073" s="4">
        <v>2071</v>
      </c>
      <c r="B2073" s="4" t="str">
        <f>"39712022060120463982164"</f>
        <v>39712022060120463982164</v>
      </c>
      <c r="C2073" s="4" t="s">
        <v>26</v>
      </c>
      <c r="D2073" s="4" t="str">
        <f>"黎基进"</f>
        <v>黎基进</v>
      </c>
      <c r="E2073" s="4" t="str">
        <f t="shared" si="97"/>
        <v>男</v>
      </c>
    </row>
    <row r="2074" spans="1:5" ht="30" customHeight="1">
      <c r="A2074" s="4">
        <v>2072</v>
      </c>
      <c r="B2074" s="4" t="str">
        <f>"39712022060121014282241"</f>
        <v>39712022060121014282241</v>
      </c>
      <c r="C2074" s="4" t="s">
        <v>26</v>
      </c>
      <c r="D2074" s="4" t="str">
        <f>"黄昌立"</f>
        <v>黄昌立</v>
      </c>
      <c r="E2074" s="4" t="str">
        <f t="shared" si="97"/>
        <v>男</v>
      </c>
    </row>
    <row r="2075" spans="1:5" ht="30" customHeight="1">
      <c r="A2075" s="4">
        <v>2073</v>
      </c>
      <c r="B2075" s="4" t="str">
        <f>"39712022060122172782657"</f>
        <v>39712022060122172782657</v>
      </c>
      <c r="C2075" s="4" t="s">
        <v>26</v>
      </c>
      <c r="D2075" s="4" t="str">
        <f>"陈显松"</f>
        <v>陈显松</v>
      </c>
      <c r="E2075" s="4" t="str">
        <f t="shared" si="97"/>
        <v>男</v>
      </c>
    </row>
    <row r="2076" spans="1:5" ht="30" customHeight="1">
      <c r="A2076" s="4">
        <v>2074</v>
      </c>
      <c r="B2076" s="4" t="str">
        <f>"39712022060122283682714"</f>
        <v>39712022060122283682714</v>
      </c>
      <c r="C2076" s="4" t="s">
        <v>26</v>
      </c>
      <c r="D2076" s="4" t="str">
        <f>"王学涯"</f>
        <v>王学涯</v>
      </c>
      <c r="E2076" s="4" t="str">
        <f t="shared" si="97"/>
        <v>男</v>
      </c>
    </row>
    <row r="2077" spans="1:5" ht="30" customHeight="1">
      <c r="A2077" s="4">
        <v>2075</v>
      </c>
      <c r="B2077" s="4" t="str">
        <f>"39712022060123090382898"</f>
        <v>39712022060123090382898</v>
      </c>
      <c r="C2077" s="4" t="s">
        <v>26</v>
      </c>
      <c r="D2077" s="4" t="str">
        <f>"李丹丹"</f>
        <v>李丹丹</v>
      </c>
      <c r="E2077" s="4" t="str">
        <f>"女"</f>
        <v>女</v>
      </c>
    </row>
    <row r="2078" spans="1:5" ht="30" customHeight="1">
      <c r="A2078" s="4">
        <v>2076</v>
      </c>
      <c r="B2078" s="4" t="str">
        <f>"39712022060123304682969"</f>
        <v>39712022060123304682969</v>
      </c>
      <c r="C2078" s="4" t="s">
        <v>26</v>
      </c>
      <c r="D2078" s="4" t="str">
        <f>"符传言"</f>
        <v>符传言</v>
      </c>
      <c r="E2078" s="4" t="str">
        <f>"男"</f>
        <v>男</v>
      </c>
    </row>
    <row r="2079" spans="1:5" ht="30" customHeight="1">
      <c r="A2079" s="4">
        <v>2077</v>
      </c>
      <c r="B2079" s="4" t="str">
        <f>"39712022060123591483038"</f>
        <v>39712022060123591483038</v>
      </c>
      <c r="C2079" s="4" t="s">
        <v>26</v>
      </c>
      <c r="D2079" s="4" t="str">
        <f>"符春荟"</f>
        <v>符春荟</v>
      </c>
      <c r="E2079" s="4" t="str">
        <f>"男"</f>
        <v>男</v>
      </c>
    </row>
    <row r="2080" spans="1:5" ht="30" customHeight="1">
      <c r="A2080" s="4">
        <v>2078</v>
      </c>
      <c r="B2080" s="4" t="str">
        <f>"39712022060200151983069"</f>
        <v>39712022060200151983069</v>
      </c>
      <c r="C2080" s="4" t="s">
        <v>26</v>
      </c>
      <c r="D2080" s="4" t="str">
        <f>"高泽琼"</f>
        <v>高泽琼</v>
      </c>
      <c r="E2080" s="4" t="str">
        <f>"男"</f>
        <v>男</v>
      </c>
    </row>
    <row r="2081" spans="1:5" ht="30" customHeight="1">
      <c r="A2081" s="4">
        <v>2079</v>
      </c>
      <c r="B2081" s="4" t="str">
        <f>"39712022060208091183243"</f>
        <v>39712022060208091183243</v>
      </c>
      <c r="C2081" s="4" t="s">
        <v>26</v>
      </c>
      <c r="D2081" s="4" t="str">
        <f>"黄鸿康"</f>
        <v>黄鸿康</v>
      </c>
      <c r="E2081" s="4" t="str">
        <f>"男"</f>
        <v>男</v>
      </c>
    </row>
    <row r="2082" spans="1:5" ht="30" customHeight="1">
      <c r="A2082" s="4">
        <v>2080</v>
      </c>
      <c r="B2082" s="4" t="str">
        <f>"39712022060208282383316"</f>
        <v>39712022060208282383316</v>
      </c>
      <c r="C2082" s="4" t="s">
        <v>26</v>
      </c>
      <c r="D2082" s="4" t="str">
        <f>"郭亚轩"</f>
        <v>郭亚轩</v>
      </c>
      <c r="E2082" s="4" t="str">
        <f>"男"</f>
        <v>男</v>
      </c>
    </row>
    <row r="2083" spans="1:5" ht="30" customHeight="1">
      <c r="A2083" s="4">
        <v>2081</v>
      </c>
      <c r="B2083" s="4" t="str">
        <f>"39712022060208515083460"</f>
        <v>39712022060208515083460</v>
      </c>
      <c r="C2083" s="4" t="s">
        <v>26</v>
      </c>
      <c r="D2083" s="4" t="str">
        <f>"何家平"</f>
        <v>何家平</v>
      </c>
      <c r="E2083" s="4" t="str">
        <f>"女"</f>
        <v>女</v>
      </c>
    </row>
    <row r="2084" spans="1:5" ht="30" customHeight="1">
      <c r="A2084" s="4">
        <v>2082</v>
      </c>
      <c r="B2084" s="4" t="str">
        <f>"39712022060209435083833"</f>
        <v>39712022060209435083833</v>
      </c>
      <c r="C2084" s="4" t="s">
        <v>26</v>
      </c>
      <c r="D2084" s="4" t="str">
        <f>"徐启铭"</f>
        <v>徐启铭</v>
      </c>
      <c r="E2084" s="4" t="str">
        <f>"男"</f>
        <v>男</v>
      </c>
    </row>
    <row r="2085" spans="1:5" ht="30" customHeight="1">
      <c r="A2085" s="4">
        <v>2083</v>
      </c>
      <c r="B2085" s="4" t="str">
        <f>"39712022060209470383857"</f>
        <v>39712022060209470383857</v>
      </c>
      <c r="C2085" s="4" t="s">
        <v>26</v>
      </c>
      <c r="D2085" s="4" t="str">
        <f>"蒙美承"</f>
        <v>蒙美承</v>
      </c>
      <c r="E2085" s="4" t="str">
        <f>"男"</f>
        <v>男</v>
      </c>
    </row>
    <row r="2086" spans="1:5" ht="30" customHeight="1">
      <c r="A2086" s="4">
        <v>2084</v>
      </c>
      <c r="B2086" s="4" t="str">
        <f>"39712022060210111084024"</f>
        <v>39712022060210111084024</v>
      </c>
      <c r="C2086" s="4" t="s">
        <v>26</v>
      </c>
      <c r="D2086" s="4" t="str">
        <f>"宋佳莉"</f>
        <v>宋佳莉</v>
      </c>
      <c r="E2086" s="4" t="str">
        <f>"女"</f>
        <v>女</v>
      </c>
    </row>
    <row r="2087" spans="1:5" ht="30" customHeight="1">
      <c r="A2087" s="4">
        <v>2085</v>
      </c>
      <c r="B2087" s="4" t="str">
        <f>"39712022060210294384177"</f>
        <v>39712022060210294384177</v>
      </c>
      <c r="C2087" s="4" t="s">
        <v>26</v>
      </c>
      <c r="D2087" s="4" t="str">
        <f>"黄美霞"</f>
        <v>黄美霞</v>
      </c>
      <c r="E2087" s="4" t="str">
        <f>"女"</f>
        <v>女</v>
      </c>
    </row>
    <row r="2088" spans="1:5" ht="30" customHeight="1">
      <c r="A2088" s="4">
        <v>2086</v>
      </c>
      <c r="B2088" s="4" t="str">
        <f>"39712022060210332384209"</f>
        <v>39712022060210332384209</v>
      </c>
      <c r="C2088" s="4" t="s">
        <v>26</v>
      </c>
      <c r="D2088" s="4" t="str">
        <f>"符聪"</f>
        <v>符聪</v>
      </c>
      <c r="E2088" s="4" t="str">
        <f>"男"</f>
        <v>男</v>
      </c>
    </row>
    <row r="2089" spans="1:5" ht="30" customHeight="1">
      <c r="A2089" s="4">
        <v>2087</v>
      </c>
      <c r="B2089" s="4" t="str">
        <f>"39712022060210542184361"</f>
        <v>39712022060210542184361</v>
      </c>
      <c r="C2089" s="4" t="s">
        <v>26</v>
      </c>
      <c r="D2089" s="4" t="str">
        <f>"林升灿"</f>
        <v>林升灿</v>
      </c>
      <c r="E2089" s="4" t="str">
        <f>"男"</f>
        <v>男</v>
      </c>
    </row>
    <row r="2090" spans="1:5" ht="30" customHeight="1">
      <c r="A2090" s="4">
        <v>2088</v>
      </c>
      <c r="B2090" s="4" t="str">
        <f>"39712022060210573384384"</f>
        <v>39712022060210573384384</v>
      </c>
      <c r="C2090" s="4" t="s">
        <v>26</v>
      </c>
      <c r="D2090" s="4" t="str">
        <f>"董衡"</f>
        <v>董衡</v>
      </c>
      <c r="E2090" s="4" t="str">
        <f>"男"</f>
        <v>男</v>
      </c>
    </row>
    <row r="2091" spans="1:5" ht="30" customHeight="1">
      <c r="A2091" s="4">
        <v>2089</v>
      </c>
      <c r="B2091" s="4" t="str">
        <f>"39712022060211022684415"</f>
        <v>39712022060211022684415</v>
      </c>
      <c r="C2091" s="4" t="s">
        <v>26</v>
      </c>
      <c r="D2091" s="4" t="str">
        <f>"陈柏旭"</f>
        <v>陈柏旭</v>
      </c>
      <c r="E2091" s="4" t="str">
        <f>"男"</f>
        <v>男</v>
      </c>
    </row>
    <row r="2092" spans="1:5" ht="30" customHeight="1">
      <c r="A2092" s="4">
        <v>2090</v>
      </c>
      <c r="B2092" s="4" t="str">
        <f>"39712022060211060184444"</f>
        <v>39712022060211060184444</v>
      </c>
      <c r="C2092" s="4" t="s">
        <v>26</v>
      </c>
      <c r="D2092" s="4" t="str">
        <f>"韩燕燕"</f>
        <v>韩燕燕</v>
      </c>
      <c r="E2092" s="4" t="str">
        <f>"女"</f>
        <v>女</v>
      </c>
    </row>
    <row r="2093" spans="1:5" ht="30" customHeight="1">
      <c r="A2093" s="4">
        <v>2091</v>
      </c>
      <c r="B2093" s="4" t="str">
        <f>"39712022060211123384491"</f>
        <v>39712022060211123384491</v>
      </c>
      <c r="C2093" s="4" t="s">
        <v>26</v>
      </c>
      <c r="D2093" s="4" t="str">
        <f>"符长运"</f>
        <v>符长运</v>
      </c>
      <c r="E2093" s="4" t="str">
        <f>"男"</f>
        <v>男</v>
      </c>
    </row>
    <row r="2094" spans="1:5" ht="30" customHeight="1">
      <c r="A2094" s="4">
        <v>2092</v>
      </c>
      <c r="B2094" s="4" t="str">
        <f>"39712022060212191984880"</f>
        <v>39712022060212191984880</v>
      </c>
      <c r="C2094" s="4" t="s">
        <v>26</v>
      </c>
      <c r="D2094" s="4" t="str">
        <f>"梁少玲"</f>
        <v>梁少玲</v>
      </c>
      <c r="E2094" s="4" t="str">
        <f>"女"</f>
        <v>女</v>
      </c>
    </row>
    <row r="2095" spans="1:5" ht="30" customHeight="1">
      <c r="A2095" s="4">
        <v>2093</v>
      </c>
      <c r="B2095" s="4" t="str">
        <f>"39712022060212484585050"</f>
        <v>39712022060212484585050</v>
      </c>
      <c r="C2095" s="4" t="s">
        <v>26</v>
      </c>
      <c r="D2095" s="4" t="str">
        <f>"苏怿"</f>
        <v>苏怿</v>
      </c>
      <c r="E2095" s="4" t="str">
        <f>"男"</f>
        <v>男</v>
      </c>
    </row>
    <row r="2096" spans="1:5" ht="30" customHeight="1">
      <c r="A2096" s="4">
        <v>2094</v>
      </c>
      <c r="B2096" s="4" t="str">
        <f>"39712022060213175885199"</f>
        <v>39712022060213175885199</v>
      </c>
      <c r="C2096" s="4" t="s">
        <v>26</v>
      </c>
      <c r="D2096" s="4" t="str">
        <f>"黄光诚"</f>
        <v>黄光诚</v>
      </c>
      <c r="E2096" s="4" t="str">
        <f>"男"</f>
        <v>男</v>
      </c>
    </row>
    <row r="2097" spans="1:5" ht="30" customHeight="1">
      <c r="A2097" s="4">
        <v>2095</v>
      </c>
      <c r="B2097" s="4" t="str">
        <f>"39712022060213523985351"</f>
        <v>39712022060213523985351</v>
      </c>
      <c r="C2097" s="4" t="s">
        <v>26</v>
      </c>
      <c r="D2097" s="4" t="str">
        <f>"吴汝转"</f>
        <v>吴汝转</v>
      </c>
      <c r="E2097" s="4" t="str">
        <f>"女"</f>
        <v>女</v>
      </c>
    </row>
    <row r="2098" spans="1:5" ht="30" customHeight="1">
      <c r="A2098" s="4">
        <v>2096</v>
      </c>
      <c r="B2098" s="4" t="str">
        <f>"39712022060213555485362"</f>
        <v>39712022060213555485362</v>
      </c>
      <c r="C2098" s="4" t="s">
        <v>26</v>
      </c>
      <c r="D2098" s="4" t="str">
        <f>"黄庆"</f>
        <v>黄庆</v>
      </c>
      <c r="E2098" s="4" t="str">
        <f>"男"</f>
        <v>男</v>
      </c>
    </row>
    <row r="2099" spans="1:5" ht="30" customHeight="1">
      <c r="A2099" s="4">
        <v>2097</v>
      </c>
      <c r="B2099" s="4" t="str">
        <f>"39712022060214272385489"</f>
        <v>39712022060214272385489</v>
      </c>
      <c r="C2099" s="4" t="s">
        <v>26</v>
      </c>
      <c r="D2099" s="4" t="str">
        <f>"林番东"</f>
        <v>林番东</v>
      </c>
      <c r="E2099" s="4" t="str">
        <f>"男"</f>
        <v>男</v>
      </c>
    </row>
    <row r="2100" spans="1:5" ht="30" customHeight="1">
      <c r="A2100" s="4">
        <v>2098</v>
      </c>
      <c r="B2100" s="4" t="str">
        <f>"39712022060215060685696"</f>
        <v>39712022060215060685696</v>
      </c>
      <c r="C2100" s="4" t="s">
        <v>26</v>
      </c>
      <c r="D2100" s="4" t="str">
        <f>"羊传锦"</f>
        <v>羊传锦</v>
      </c>
      <c r="E2100" s="4" t="str">
        <f>"女"</f>
        <v>女</v>
      </c>
    </row>
    <row r="2101" spans="1:5" ht="30" customHeight="1">
      <c r="A2101" s="4">
        <v>2099</v>
      </c>
      <c r="B2101" s="4" t="str">
        <f>"39712022060215095185714"</f>
        <v>39712022060215095185714</v>
      </c>
      <c r="C2101" s="4" t="s">
        <v>26</v>
      </c>
      <c r="D2101" s="4" t="str">
        <f>"吴春艳"</f>
        <v>吴春艳</v>
      </c>
      <c r="E2101" s="4" t="str">
        <f>"女"</f>
        <v>女</v>
      </c>
    </row>
    <row r="2102" spans="1:5" ht="30" customHeight="1">
      <c r="A2102" s="4">
        <v>2100</v>
      </c>
      <c r="B2102" s="4" t="str">
        <f>"39712022060215294685832"</f>
        <v>39712022060215294685832</v>
      </c>
      <c r="C2102" s="4" t="s">
        <v>26</v>
      </c>
      <c r="D2102" s="4" t="str">
        <f>"冯杨"</f>
        <v>冯杨</v>
      </c>
      <c r="E2102" s="4" t="str">
        <f>"男"</f>
        <v>男</v>
      </c>
    </row>
    <row r="2103" spans="1:5" ht="30" customHeight="1">
      <c r="A2103" s="4">
        <v>2101</v>
      </c>
      <c r="B2103" s="4" t="str">
        <f>"39712022060216311986188"</f>
        <v>39712022060216311986188</v>
      </c>
      <c r="C2103" s="4" t="s">
        <v>26</v>
      </c>
      <c r="D2103" s="4" t="str">
        <f>"李武深"</f>
        <v>李武深</v>
      </c>
      <c r="E2103" s="4" t="str">
        <f>"男"</f>
        <v>男</v>
      </c>
    </row>
    <row r="2104" spans="1:5" ht="30" customHeight="1">
      <c r="A2104" s="4">
        <v>2102</v>
      </c>
      <c r="B2104" s="4" t="str">
        <f>"39712022060217074886347"</f>
        <v>39712022060217074886347</v>
      </c>
      <c r="C2104" s="4" t="s">
        <v>26</v>
      </c>
      <c r="D2104" s="4" t="str">
        <f>"王真真"</f>
        <v>王真真</v>
      </c>
      <c r="E2104" s="4" t="str">
        <f>"男"</f>
        <v>男</v>
      </c>
    </row>
    <row r="2105" spans="1:5" ht="30" customHeight="1">
      <c r="A2105" s="4">
        <v>2103</v>
      </c>
      <c r="B2105" s="4" t="str">
        <f>"39712022060217442586511"</f>
        <v>39712022060217442586511</v>
      </c>
      <c r="C2105" s="4" t="s">
        <v>26</v>
      </c>
      <c r="D2105" s="4" t="str">
        <f>"符孟铍"</f>
        <v>符孟铍</v>
      </c>
      <c r="E2105" s="4" t="str">
        <f>"男"</f>
        <v>男</v>
      </c>
    </row>
    <row r="2106" spans="1:5" ht="30" customHeight="1">
      <c r="A2106" s="4">
        <v>2104</v>
      </c>
      <c r="B2106" s="4" t="str">
        <f>"39712022060217592986577"</f>
        <v>39712022060217592986577</v>
      </c>
      <c r="C2106" s="4" t="s">
        <v>26</v>
      </c>
      <c r="D2106" s="4" t="str">
        <f>"林英杰"</f>
        <v>林英杰</v>
      </c>
      <c r="E2106" s="4" t="str">
        <f>"男"</f>
        <v>男</v>
      </c>
    </row>
    <row r="2107" spans="1:5" ht="30" customHeight="1">
      <c r="A2107" s="4">
        <v>2105</v>
      </c>
      <c r="B2107" s="4" t="str">
        <f>"39712022060218053486596"</f>
        <v>39712022060218053486596</v>
      </c>
      <c r="C2107" s="4" t="s">
        <v>26</v>
      </c>
      <c r="D2107" s="4" t="str">
        <f>"张秋香"</f>
        <v>张秋香</v>
      </c>
      <c r="E2107" s="4" t="str">
        <f aca="true" t="shared" si="98" ref="E2107:E2112">"女"</f>
        <v>女</v>
      </c>
    </row>
    <row r="2108" spans="1:5" ht="30" customHeight="1">
      <c r="A2108" s="4">
        <v>2106</v>
      </c>
      <c r="B2108" s="4" t="str">
        <f>"39712022060218062486600"</f>
        <v>39712022060218062486600</v>
      </c>
      <c r="C2108" s="4" t="s">
        <v>26</v>
      </c>
      <c r="D2108" s="4" t="str">
        <f>"苏燕妮"</f>
        <v>苏燕妮</v>
      </c>
      <c r="E2108" s="4" t="str">
        <f t="shared" si="98"/>
        <v>女</v>
      </c>
    </row>
    <row r="2109" spans="1:5" ht="30" customHeight="1">
      <c r="A2109" s="4">
        <v>2107</v>
      </c>
      <c r="B2109" s="4" t="str">
        <f>"39712022060219070786783"</f>
        <v>39712022060219070786783</v>
      </c>
      <c r="C2109" s="4" t="s">
        <v>26</v>
      </c>
      <c r="D2109" s="4" t="str">
        <f>"王如玉"</f>
        <v>王如玉</v>
      </c>
      <c r="E2109" s="4" t="str">
        <f t="shared" si="98"/>
        <v>女</v>
      </c>
    </row>
    <row r="2110" spans="1:5" ht="30" customHeight="1">
      <c r="A2110" s="4">
        <v>2108</v>
      </c>
      <c r="B2110" s="4" t="str">
        <f>"39712022060220264486994"</f>
        <v>39712022060220264486994</v>
      </c>
      <c r="C2110" s="4" t="s">
        <v>26</v>
      </c>
      <c r="D2110" s="4" t="str">
        <f>"计威威"</f>
        <v>计威威</v>
      </c>
      <c r="E2110" s="4" t="str">
        <f t="shared" si="98"/>
        <v>女</v>
      </c>
    </row>
    <row r="2111" spans="1:5" ht="30" customHeight="1">
      <c r="A2111" s="4">
        <v>2109</v>
      </c>
      <c r="B2111" s="4" t="str">
        <f>"39712022060220560387086"</f>
        <v>39712022060220560387086</v>
      </c>
      <c r="C2111" s="4" t="s">
        <v>26</v>
      </c>
      <c r="D2111" s="4" t="str">
        <f>"符莉萍"</f>
        <v>符莉萍</v>
      </c>
      <c r="E2111" s="4" t="str">
        <f t="shared" si="98"/>
        <v>女</v>
      </c>
    </row>
    <row r="2112" spans="1:5" ht="30" customHeight="1">
      <c r="A2112" s="4">
        <v>2110</v>
      </c>
      <c r="B2112" s="4" t="str">
        <f>"39712022060221184887167"</f>
        <v>39712022060221184887167</v>
      </c>
      <c r="C2112" s="4" t="s">
        <v>26</v>
      </c>
      <c r="D2112" s="4" t="str">
        <f>"杨春艾"</f>
        <v>杨春艾</v>
      </c>
      <c r="E2112" s="4" t="str">
        <f t="shared" si="98"/>
        <v>女</v>
      </c>
    </row>
    <row r="2113" spans="1:5" ht="30" customHeight="1">
      <c r="A2113" s="4">
        <v>2111</v>
      </c>
      <c r="B2113" s="4" t="str">
        <f>"39712022060223075387515"</f>
        <v>39712022060223075387515</v>
      </c>
      <c r="C2113" s="4" t="s">
        <v>26</v>
      </c>
      <c r="D2113" s="4" t="str">
        <f>"符炳坤"</f>
        <v>符炳坤</v>
      </c>
      <c r="E2113" s="4" t="str">
        <f>"男"</f>
        <v>男</v>
      </c>
    </row>
    <row r="2114" spans="1:5" ht="30" customHeight="1">
      <c r="A2114" s="4">
        <v>2112</v>
      </c>
      <c r="B2114" s="4" t="str">
        <f>"39712022060223140187524"</f>
        <v>39712022060223140187524</v>
      </c>
      <c r="C2114" s="4" t="s">
        <v>26</v>
      </c>
      <c r="D2114" s="4" t="str">
        <f>"吴金荣"</f>
        <v>吴金荣</v>
      </c>
      <c r="E2114" s="4" t="str">
        <f>"女"</f>
        <v>女</v>
      </c>
    </row>
    <row r="2115" spans="1:5" ht="30" customHeight="1">
      <c r="A2115" s="4">
        <v>2113</v>
      </c>
      <c r="B2115" s="4" t="str">
        <f>"39712022060300290087586"</f>
        <v>39712022060300290087586</v>
      </c>
      <c r="C2115" s="4" t="s">
        <v>26</v>
      </c>
      <c r="D2115" s="4" t="str">
        <f>"符明理"</f>
        <v>符明理</v>
      </c>
      <c r="E2115" s="4" t="str">
        <f>"男"</f>
        <v>男</v>
      </c>
    </row>
    <row r="2116" spans="1:5" ht="30" customHeight="1">
      <c r="A2116" s="4">
        <v>2114</v>
      </c>
      <c r="B2116" s="4" t="str">
        <f>"39712022060301101287600"</f>
        <v>39712022060301101287600</v>
      </c>
      <c r="C2116" s="4" t="s">
        <v>26</v>
      </c>
      <c r="D2116" s="4" t="str">
        <f>"王运来"</f>
        <v>王运来</v>
      </c>
      <c r="E2116" s="4" t="str">
        <f>"男"</f>
        <v>男</v>
      </c>
    </row>
    <row r="2117" spans="1:5" ht="30" customHeight="1">
      <c r="A2117" s="4">
        <v>2115</v>
      </c>
      <c r="B2117" s="4" t="str">
        <f>"39712022060307062687616"</f>
        <v>39712022060307062687616</v>
      </c>
      <c r="C2117" s="4" t="s">
        <v>26</v>
      </c>
      <c r="D2117" s="4" t="str">
        <f>"符裕诚"</f>
        <v>符裕诚</v>
      </c>
      <c r="E2117" s="4" t="str">
        <f>"男"</f>
        <v>男</v>
      </c>
    </row>
    <row r="2118" spans="1:5" ht="30" customHeight="1">
      <c r="A2118" s="4">
        <v>2116</v>
      </c>
      <c r="B2118" s="4" t="str">
        <f>"39712022060308283787647"</f>
        <v>39712022060308283787647</v>
      </c>
      <c r="C2118" s="4" t="s">
        <v>26</v>
      </c>
      <c r="D2118" s="4" t="str">
        <f>"康同同"</f>
        <v>康同同</v>
      </c>
      <c r="E2118" s="4" t="str">
        <f>"女"</f>
        <v>女</v>
      </c>
    </row>
    <row r="2119" spans="1:5" ht="30" customHeight="1">
      <c r="A2119" s="4">
        <v>2117</v>
      </c>
      <c r="B2119" s="4" t="str">
        <f>"39712022060313010487944"</f>
        <v>39712022060313010487944</v>
      </c>
      <c r="C2119" s="4" t="s">
        <v>26</v>
      </c>
      <c r="D2119" s="4" t="str">
        <f>"黄仁龙"</f>
        <v>黄仁龙</v>
      </c>
      <c r="E2119" s="4" t="str">
        <f>"男"</f>
        <v>男</v>
      </c>
    </row>
    <row r="2120" spans="1:5" ht="30" customHeight="1">
      <c r="A2120" s="4">
        <v>2118</v>
      </c>
      <c r="B2120" s="4" t="str">
        <f>"39712022060316354388136"</f>
        <v>39712022060316354388136</v>
      </c>
      <c r="C2120" s="4" t="s">
        <v>26</v>
      </c>
      <c r="D2120" s="4" t="str">
        <f>"黎书通"</f>
        <v>黎书通</v>
      </c>
      <c r="E2120" s="4" t="str">
        <f>"男"</f>
        <v>男</v>
      </c>
    </row>
    <row r="2121" spans="1:5" ht="30" customHeight="1">
      <c r="A2121" s="4">
        <v>2119</v>
      </c>
      <c r="B2121" s="4" t="str">
        <f>"39712022060319294988293"</f>
        <v>39712022060319294988293</v>
      </c>
      <c r="C2121" s="4" t="s">
        <v>26</v>
      </c>
      <c r="D2121" s="4" t="str">
        <f>"黄亚雷"</f>
        <v>黄亚雷</v>
      </c>
      <c r="E2121" s="4" t="str">
        <f>"男"</f>
        <v>男</v>
      </c>
    </row>
    <row r="2122" spans="1:5" ht="30" customHeight="1">
      <c r="A2122" s="4">
        <v>2120</v>
      </c>
      <c r="B2122" s="4" t="str">
        <f>"39712022060323130488520"</f>
        <v>39712022060323130488520</v>
      </c>
      <c r="C2122" s="4" t="s">
        <v>26</v>
      </c>
      <c r="D2122" s="4" t="str">
        <f>"卓丽婷"</f>
        <v>卓丽婷</v>
      </c>
      <c r="E2122" s="4" t="str">
        <f>"女"</f>
        <v>女</v>
      </c>
    </row>
    <row r="2123" spans="1:5" ht="30" customHeight="1">
      <c r="A2123" s="4">
        <v>2121</v>
      </c>
      <c r="B2123" s="4" t="str">
        <f>"39712022060410272788716"</f>
        <v>39712022060410272788716</v>
      </c>
      <c r="C2123" s="4" t="s">
        <v>26</v>
      </c>
      <c r="D2123" s="4" t="str">
        <f>"梁广宇"</f>
        <v>梁广宇</v>
      </c>
      <c r="E2123" s="4" t="str">
        <f>"男"</f>
        <v>男</v>
      </c>
    </row>
    <row r="2124" spans="1:5" ht="30" customHeight="1">
      <c r="A2124" s="4">
        <v>2122</v>
      </c>
      <c r="B2124" s="4" t="str">
        <f>"39712022060411433488820"</f>
        <v>39712022060411433488820</v>
      </c>
      <c r="C2124" s="4" t="s">
        <v>26</v>
      </c>
      <c r="D2124" s="4" t="str">
        <f>"王品科"</f>
        <v>王品科</v>
      </c>
      <c r="E2124" s="4" t="str">
        <f>"男"</f>
        <v>男</v>
      </c>
    </row>
    <row r="2125" spans="1:5" ht="30" customHeight="1">
      <c r="A2125" s="4">
        <v>2123</v>
      </c>
      <c r="B2125" s="4" t="str">
        <f>"39712022060412410088871"</f>
        <v>39712022060412410088871</v>
      </c>
      <c r="C2125" s="4" t="s">
        <v>26</v>
      </c>
      <c r="D2125" s="4" t="str">
        <f>"吴多杰"</f>
        <v>吴多杰</v>
      </c>
      <c r="E2125" s="4" t="str">
        <f>"男"</f>
        <v>男</v>
      </c>
    </row>
    <row r="2126" spans="1:5" ht="30" customHeight="1">
      <c r="A2126" s="4">
        <v>2124</v>
      </c>
      <c r="B2126" s="4" t="str">
        <f>"39712022060416273189091"</f>
        <v>39712022060416273189091</v>
      </c>
      <c r="C2126" s="4" t="s">
        <v>26</v>
      </c>
      <c r="D2126" s="4" t="str">
        <f>"辜民富"</f>
        <v>辜民富</v>
      </c>
      <c r="E2126" s="4" t="str">
        <f>"男"</f>
        <v>男</v>
      </c>
    </row>
    <row r="2127" spans="1:5" ht="30" customHeight="1">
      <c r="A2127" s="4">
        <v>2125</v>
      </c>
      <c r="B2127" s="4" t="str">
        <f>"39712022060420322989328"</f>
        <v>39712022060420322989328</v>
      </c>
      <c r="C2127" s="4" t="s">
        <v>26</v>
      </c>
      <c r="D2127" s="4" t="str">
        <f>"符蓉"</f>
        <v>符蓉</v>
      </c>
      <c r="E2127" s="4" t="str">
        <f>"女"</f>
        <v>女</v>
      </c>
    </row>
    <row r="2128" spans="1:5" ht="30" customHeight="1">
      <c r="A2128" s="4">
        <v>2126</v>
      </c>
      <c r="B2128" s="4" t="str">
        <f>"39712022060421201389387"</f>
        <v>39712022060421201389387</v>
      </c>
      <c r="C2128" s="4" t="s">
        <v>26</v>
      </c>
      <c r="D2128" s="4" t="str">
        <f>"符大树"</f>
        <v>符大树</v>
      </c>
      <c r="E2128" s="4" t="str">
        <f>"男"</f>
        <v>男</v>
      </c>
    </row>
    <row r="2129" spans="1:5" ht="30" customHeight="1">
      <c r="A2129" s="4">
        <v>2127</v>
      </c>
      <c r="B2129" s="4" t="str">
        <f>"39712022060507594489586"</f>
        <v>39712022060507594489586</v>
      </c>
      <c r="C2129" s="4" t="s">
        <v>26</v>
      </c>
      <c r="D2129" s="4" t="str">
        <f>"梁文君"</f>
        <v>梁文君</v>
      </c>
      <c r="E2129" s="4" t="str">
        <f>"女"</f>
        <v>女</v>
      </c>
    </row>
    <row r="2130" spans="1:5" ht="30" customHeight="1">
      <c r="A2130" s="4">
        <v>2128</v>
      </c>
      <c r="B2130" s="4" t="str">
        <f>"39712022060509544789711"</f>
        <v>39712022060509544789711</v>
      </c>
      <c r="C2130" s="4" t="s">
        <v>26</v>
      </c>
      <c r="D2130" s="4" t="str">
        <f>"肖丙璐"</f>
        <v>肖丙璐</v>
      </c>
      <c r="E2130" s="4" t="str">
        <f>"男"</f>
        <v>男</v>
      </c>
    </row>
    <row r="2131" spans="1:5" ht="30" customHeight="1">
      <c r="A2131" s="4">
        <v>2129</v>
      </c>
      <c r="B2131" s="4" t="str">
        <f>"39712022060511400689910"</f>
        <v>39712022060511400689910</v>
      </c>
      <c r="C2131" s="4" t="s">
        <v>26</v>
      </c>
      <c r="D2131" s="4" t="str">
        <f>"谢丰逊"</f>
        <v>谢丰逊</v>
      </c>
      <c r="E2131" s="4" t="str">
        <f>"男"</f>
        <v>男</v>
      </c>
    </row>
    <row r="2132" spans="1:5" ht="30" customHeight="1">
      <c r="A2132" s="4">
        <v>2130</v>
      </c>
      <c r="B2132" s="4" t="str">
        <f>"39712022060512390289992"</f>
        <v>39712022060512390289992</v>
      </c>
      <c r="C2132" s="4" t="s">
        <v>26</v>
      </c>
      <c r="D2132" s="4" t="str">
        <f>"郑群莉"</f>
        <v>郑群莉</v>
      </c>
      <c r="E2132" s="4" t="str">
        <f>"女"</f>
        <v>女</v>
      </c>
    </row>
    <row r="2133" spans="1:5" ht="30" customHeight="1">
      <c r="A2133" s="4">
        <v>2131</v>
      </c>
      <c r="B2133" s="4" t="str">
        <f>"39712022060517184790359"</f>
        <v>39712022060517184790359</v>
      </c>
      <c r="C2133" s="4" t="s">
        <v>26</v>
      </c>
      <c r="D2133" s="4" t="str">
        <f>"欧美琪"</f>
        <v>欧美琪</v>
      </c>
      <c r="E2133" s="4" t="str">
        <f>"女"</f>
        <v>女</v>
      </c>
    </row>
    <row r="2134" spans="1:5" ht="30" customHeight="1">
      <c r="A2134" s="4">
        <v>2132</v>
      </c>
      <c r="B2134" s="4" t="str">
        <f>"39712022060517364090385"</f>
        <v>39712022060517364090385</v>
      </c>
      <c r="C2134" s="4" t="s">
        <v>26</v>
      </c>
      <c r="D2134" s="4" t="str">
        <f>"陈焕栋"</f>
        <v>陈焕栋</v>
      </c>
      <c r="E2134" s="4" t="str">
        <f>"男"</f>
        <v>男</v>
      </c>
    </row>
    <row r="2135" spans="1:5" ht="30" customHeight="1">
      <c r="A2135" s="4">
        <v>2133</v>
      </c>
      <c r="B2135" s="4" t="str">
        <f>"39712022060521201890745"</f>
        <v>39712022060521201890745</v>
      </c>
      <c r="C2135" s="4" t="s">
        <v>26</v>
      </c>
      <c r="D2135" s="4" t="str">
        <f>"冯倩燕"</f>
        <v>冯倩燕</v>
      </c>
      <c r="E2135" s="4" t="str">
        <f>"女"</f>
        <v>女</v>
      </c>
    </row>
    <row r="2136" spans="1:5" ht="30" customHeight="1">
      <c r="A2136" s="4">
        <v>2134</v>
      </c>
      <c r="B2136" s="4" t="str">
        <f>"39712022060522354790876"</f>
        <v>39712022060522354790876</v>
      </c>
      <c r="C2136" s="4" t="s">
        <v>26</v>
      </c>
      <c r="D2136" s="4" t="str">
        <f>"冯宝宇"</f>
        <v>冯宝宇</v>
      </c>
      <c r="E2136" s="4" t="str">
        <f>"男"</f>
        <v>男</v>
      </c>
    </row>
    <row r="2137" spans="1:5" ht="30" customHeight="1">
      <c r="A2137" s="4">
        <v>2135</v>
      </c>
      <c r="B2137" s="4" t="str">
        <f>"39712022060523222290943"</f>
        <v>39712022060523222290943</v>
      </c>
      <c r="C2137" s="4" t="s">
        <v>26</v>
      </c>
      <c r="D2137" s="4" t="str">
        <f>"占玉敏"</f>
        <v>占玉敏</v>
      </c>
      <c r="E2137" s="4" t="str">
        <f>"女"</f>
        <v>女</v>
      </c>
    </row>
    <row r="2138" spans="1:5" ht="30" customHeight="1">
      <c r="A2138" s="4">
        <v>2136</v>
      </c>
      <c r="B2138" s="4" t="str">
        <f>"39712022060523313590955"</f>
        <v>39712022060523313590955</v>
      </c>
      <c r="C2138" s="4" t="s">
        <v>26</v>
      </c>
      <c r="D2138" s="4" t="str">
        <f>"杨元山"</f>
        <v>杨元山</v>
      </c>
      <c r="E2138" s="4" t="str">
        <f>"男"</f>
        <v>男</v>
      </c>
    </row>
    <row r="2139" spans="1:5" ht="30" customHeight="1">
      <c r="A2139" s="4">
        <v>2137</v>
      </c>
      <c r="B2139" s="4" t="str">
        <f>"39712022060607205491041"</f>
        <v>39712022060607205491041</v>
      </c>
      <c r="C2139" s="4" t="s">
        <v>26</v>
      </c>
      <c r="D2139" s="4" t="str">
        <f>"邢婵"</f>
        <v>邢婵</v>
      </c>
      <c r="E2139" s="4" t="str">
        <f>"女"</f>
        <v>女</v>
      </c>
    </row>
    <row r="2140" spans="1:5" ht="30" customHeight="1">
      <c r="A2140" s="4">
        <v>2138</v>
      </c>
      <c r="B2140" s="4" t="str">
        <f>"39712022060608365191116"</f>
        <v>39712022060608365191116</v>
      </c>
      <c r="C2140" s="4" t="s">
        <v>26</v>
      </c>
      <c r="D2140" s="4" t="str">
        <f>"冯秋琼"</f>
        <v>冯秋琼</v>
      </c>
      <c r="E2140" s="4" t="str">
        <f>"女"</f>
        <v>女</v>
      </c>
    </row>
    <row r="2141" spans="1:5" ht="30" customHeight="1">
      <c r="A2141" s="4">
        <v>2139</v>
      </c>
      <c r="B2141" s="4" t="str">
        <f>"39712022060608450191136"</f>
        <v>39712022060608450191136</v>
      </c>
      <c r="C2141" s="4" t="s">
        <v>26</v>
      </c>
      <c r="D2141" s="4" t="str">
        <f>"占家豪"</f>
        <v>占家豪</v>
      </c>
      <c r="E2141" s="4" t="str">
        <f>"男"</f>
        <v>男</v>
      </c>
    </row>
    <row r="2142" spans="1:5" ht="30" customHeight="1">
      <c r="A2142" s="4">
        <v>2140</v>
      </c>
      <c r="B2142" s="4" t="str">
        <f>"39712022060608563891163"</f>
        <v>39712022060608563891163</v>
      </c>
      <c r="C2142" s="4" t="s">
        <v>26</v>
      </c>
      <c r="D2142" s="4" t="str">
        <f>"林子甜"</f>
        <v>林子甜</v>
      </c>
      <c r="E2142" s="4" t="str">
        <f>"女"</f>
        <v>女</v>
      </c>
    </row>
    <row r="2143" spans="1:5" ht="30" customHeight="1">
      <c r="A2143" s="4">
        <v>2141</v>
      </c>
      <c r="B2143" s="4" t="str">
        <f>"39712022060609132591822"</f>
        <v>39712022060609132591822</v>
      </c>
      <c r="C2143" s="4" t="s">
        <v>26</v>
      </c>
      <c r="D2143" s="4" t="str">
        <f>"庞世彤"</f>
        <v>庞世彤</v>
      </c>
      <c r="E2143" s="4" t="str">
        <f>"女"</f>
        <v>女</v>
      </c>
    </row>
    <row r="2144" spans="1:5" ht="30" customHeight="1">
      <c r="A2144" s="4">
        <v>2142</v>
      </c>
      <c r="B2144" s="4" t="str">
        <f>"39712022060609170891949"</f>
        <v>39712022060609170891949</v>
      </c>
      <c r="C2144" s="4" t="s">
        <v>26</v>
      </c>
      <c r="D2144" s="4" t="str">
        <f>"韩联定"</f>
        <v>韩联定</v>
      </c>
      <c r="E2144" s="4" t="str">
        <f>"男"</f>
        <v>男</v>
      </c>
    </row>
    <row r="2145" spans="1:5" ht="30" customHeight="1">
      <c r="A2145" s="4">
        <v>2143</v>
      </c>
      <c r="B2145" s="4" t="str">
        <f>"39712022060609261492240"</f>
        <v>39712022060609261492240</v>
      </c>
      <c r="C2145" s="4" t="s">
        <v>26</v>
      </c>
      <c r="D2145" s="4" t="str">
        <f>"廖忠驹"</f>
        <v>廖忠驹</v>
      </c>
      <c r="E2145" s="4" t="str">
        <f>"男"</f>
        <v>男</v>
      </c>
    </row>
    <row r="2146" spans="1:5" ht="30" customHeight="1">
      <c r="A2146" s="4">
        <v>2144</v>
      </c>
      <c r="B2146" s="4" t="str">
        <f>"39712022060609393892631"</f>
        <v>39712022060609393892631</v>
      </c>
      <c r="C2146" s="4" t="s">
        <v>26</v>
      </c>
      <c r="D2146" s="4" t="str">
        <f>"潘在望"</f>
        <v>潘在望</v>
      </c>
      <c r="E2146" s="4" t="str">
        <f>"男"</f>
        <v>男</v>
      </c>
    </row>
    <row r="2147" spans="1:5" ht="30" customHeight="1">
      <c r="A2147" s="4">
        <v>2145</v>
      </c>
      <c r="B2147" s="4" t="str">
        <f>"39712022060610241293762"</f>
        <v>39712022060610241293762</v>
      </c>
      <c r="C2147" s="4" t="s">
        <v>26</v>
      </c>
      <c r="D2147" s="4" t="str">
        <f>"王婷"</f>
        <v>王婷</v>
      </c>
      <c r="E2147" s="4" t="str">
        <f>"女"</f>
        <v>女</v>
      </c>
    </row>
    <row r="2148" spans="1:5" ht="30" customHeight="1">
      <c r="A2148" s="4">
        <v>2146</v>
      </c>
      <c r="B2148" s="4" t="str">
        <f>"39712022060610470794319"</f>
        <v>39712022060610470794319</v>
      </c>
      <c r="C2148" s="4" t="s">
        <v>26</v>
      </c>
      <c r="D2148" s="4" t="str">
        <f>"郑从彪"</f>
        <v>郑从彪</v>
      </c>
      <c r="E2148" s="4" t="str">
        <f>"男"</f>
        <v>男</v>
      </c>
    </row>
    <row r="2149" spans="1:5" ht="30" customHeight="1">
      <c r="A2149" s="4">
        <v>2147</v>
      </c>
      <c r="B2149" s="4" t="str">
        <f>"39712022060610524094438"</f>
        <v>39712022060610524094438</v>
      </c>
      <c r="C2149" s="4" t="s">
        <v>26</v>
      </c>
      <c r="D2149" s="4" t="str">
        <f>"陈世勇"</f>
        <v>陈世勇</v>
      </c>
      <c r="E2149" s="4" t="str">
        <f>"男"</f>
        <v>男</v>
      </c>
    </row>
    <row r="2150" spans="1:5" ht="30" customHeight="1">
      <c r="A2150" s="4">
        <v>2148</v>
      </c>
      <c r="B2150" s="4" t="str">
        <f>"39712022060610541894475"</f>
        <v>39712022060610541894475</v>
      </c>
      <c r="C2150" s="4" t="s">
        <v>26</v>
      </c>
      <c r="D2150" s="4" t="str">
        <f>"崔胜"</f>
        <v>崔胜</v>
      </c>
      <c r="E2150" s="4" t="str">
        <f>"男"</f>
        <v>男</v>
      </c>
    </row>
    <row r="2151" spans="1:5" ht="30" customHeight="1">
      <c r="A2151" s="4">
        <v>2149</v>
      </c>
      <c r="B2151" s="4" t="str">
        <f>"39712022060611494895494"</f>
        <v>39712022060611494895494</v>
      </c>
      <c r="C2151" s="4" t="s">
        <v>26</v>
      </c>
      <c r="D2151" s="4" t="str">
        <f>"王惠惠"</f>
        <v>王惠惠</v>
      </c>
      <c r="E2151" s="4" t="str">
        <f>"女"</f>
        <v>女</v>
      </c>
    </row>
    <row r="2152" spans="1:5" ht="30" customHeight="1">
      <c r="A2152" s="4">
        <v>2150</v>
      </c>
      <c r="B2152" s="4" t="str">
        <f>"39712022060611585595627"</f>
        <v>39712022060611585595627</v>
      </c>
      <c r="C2152" s="4" t="s">
        <v>26</v>
      </c>
      <c r="D2152" s="4" t="str">
        <f>"郑瑜芬"</f>
        <v>郑瑜芬</v>
      </c>
      <c r="E2152" s="4" t="str">
        <f>"女"</f>
        <v>女</v>
      </c>
    </row>
    <row r="2153" spans="1:5" ht="30" customHeight="1">
      <c r="A2153" s="4">
        <v>2151</v>
      </c>
      <c r="B2153" s="4" t="str">
        <f>"39712022060615070597596"</f>
        <v>39712022060615070597596</v>
      </c>
      <c r="C2153" s="4" t="s">
        <v>26</v>
      </c>
      <c r="D2153" s="4" t="str">
        <f>"苏嘉慧"</f>
        <v>苏嘉慧</v>
      </c>
      <c r="E2153" s="4" t="str">
        <f>"女"</f>
        <v>女</v>
      </c>
    </row>
    <row r="2154" spans="1:5" ht="30" customHeight="1">
      <c r="A2154" s="4">
        <v>2152</v>
      </c>
      <c r="B2154" s="4" t="str">
        <f>"39712022060615193897766"</f>
        <v>39712022060615193897766</v>
      </c>
      <c r="C2154" s="4" t="s">
        <v>26</v>
      </c>
      <c r="D2154" s="4" t="str">
        <f>"冯孟娜"</f>
        <v>冯孟娜</v>
      </c>
      <c r="E2154" s="4" t="str">
        <f>"女"</f>
        <v>女</v>
      </c>
    </row>
    <row r="2155" spans="1:5" ht="30" customHeight="1">
      <c r="A2155" s="4">
        <v>2153</v>
      </c>
      <c r="B2155" s="4" t="str">
        <f>"39712022060616541899026"</f>
        <v>39712022060616541899026</v>
      </c>
      <c r="C2155" s="4" t="s">
        <v>26</v>
      </c>
      <c r="D2155" s="4" t="str">
        <f>"秦代威"</f>
        <v>秦代威</v>
      </c>
      <c r="E2155" s="4" t="str">
        <f>"男"</f>
        <v>男</v>
      </c>
    </row>
    <row r="2156" spans="1:5" ht="30" customHeight="1">
      <c r="A2156" s="4">
        <v>2154</v>
      </c>
      <c r="B2156" s="4" t="str">
        <f>"39712022060617152799259"</f>
        <v>39712022060617152799259</v>
      </c>
      <c r="C2156" s="4" t="s">
        <v>26</v>
      </c>
      <c r="D2156" s="4" t="str">
        <f>"袁艳敏"</f>
        <v>袁艳敏</v>
      </c>
      <c r="E2156" s="4" t="str">
        <f>"女"</f>
        <v>女</v>
      </c>
    </row>
    <row r="2157" spans="1:5" ht="30" customHeight="1">
      <c r="A2157" s="4">
        <v>2155</v>
      </c>
      <c r="B2157" s="4" t="str">
        <f>"39712022060617184999287"</f>
        <v>39712022060617184999287</v>
      </c>
      <c r="C2157" s="4" t="s">
        <v>26</v>
      </c>
      <c r="D2157" s="4" t="str">
        <f>"周童"</f>
        <v>周童</v>
      </c>
      <c r="E2157" s="4" t="str">
        <f>"女"</f>
        <v>女</v>
      </c>
    </row>
    <row r="2158" spans="1:5" ht="30" customHeight="1">
      <c r="A2158" s="4">
        <v>2156</v>
      </c>
      <c r="B2158" s="4" t="str">
        <f>"397120220606185116100092"</f>
        <v>397120220606185116100092</v>
      </c>
      <c r="C2158" s="4" t="s">
        <v>26</v>
      </c>
      <c r="D2158" s="4" t="str">
        <f>"谭浪"</f>
        <v>谭浪</v>
      </c>
      <c r="E2158" s="4" t="str">
        <f>"男"</f>
        <v>男</v>
      </c>
    </row>
    <row r="2159" spans="1:5" ht="30" customHeight="1">
      <c r="A2159" s="4">
        <v>2157</v>
      </c>
      <c r="B2159" s="4" t="str">
        <f>"397120220606191423100285"</f>
        <v>397120220606191423100285</v>
      </c>
      <c r="C2159" s="4" t="s">
        <v>26</v>
      </c>
      <c r="D2159" s="4" t="str">
        <f>"唐大香"</f>
        <v>唐大香</v>
      </c>
      <c r="E2159" s="4" t="str">
        <f>"女"</f>
        <v>女</v>
      </c>
    </row>
    <row r="2160" spans="1:5" ht="30" customHeight="1">
      <c r="A2160" s="4">
        <v>2158</v>
      </c>
      <c r="B2160" s="4" t="str">
        <f>"397120220606230754102194"</f>
        <v>397120220606230754102194</v>
      </c>
      <c r="C2160" s="4" t="s">
        <v>26</v>
      </c>
      <c r="D2160" s="4" t="str">
        <f>"陈冠忠"</f>
        <v>陈冠忠</v>
      </c>
      <c r="E2160" s="4" t="str">
        <f aca="true" t="shared" si="99" ref="E2160:E2168">"男"</f>
        <v>男</v>
      </c>
    </row>
    <row r="2161" spans="1:5" ht="30" customHeight="1">
      <c r="A2161" s="4">
        <v>2159</v>
      </c>
      <c r="B2161" s="4" t="str">
        <f>"397120220607034937102542"</f>
        <v>397120220607034937102542</v>
      </c>
      <c r="C2161" s="4" t="s">
        <v>26</v>
      </c>
      <c r="D2161" s="4" t="str">
        <f>"张恒鸣"</f>
        <v>张恒鸣</v>
      </c>
      <c r="E2161" s="4" t="str">
        <f t="shared" si="99"/>
        <v>男</v>
      </c>
    </row>
    <row r="2162" spans="1:5" ht="30" customHeight="1">
      <c r="A2162" s="4">
        <v>2160</v>
      </c>
      <c r="B2162" s="4" t="str">
        <f>"397120220607080640102719"</f>
        <v>397120220607080640102719</v>
      </c>
      <c r="C2162" s="4" t="s">
        <v>26</v>
      </c>
      <c r="D2162" s="4" t="str">
        <f>"符敦旭"</f>
        <v>符敦旭</v>
      </c>
      <c r="E2162" s="4" t="str">
        <f t="shared" si="99"/>
        <v>男</v>
      </c>
    </row>
    <row r="2163" spans="1:5" ht="30" customHeight="1">
      <c r="A2163" s="4">
        <v>2161</v>
      </c>
      <c r="B2163" s="4" t="str">
        <f>"397120220607100536104084"</f>
        <v>397120220607100536104084</v>
      </c>
      <c r="C2163" s="4" t="s">
        <v>26</v>
      </c>
      <c r="D2163" s="4" t="str">
        <f>"孙振宇"</f>
        <v>孙振宇</v>
      </c>
      <c r="E2163" s="4" t="str">
        <f t="shared" si="99"/>
        <v>男</v>
      </c>
    </row>
    <row r="2164" spans="1:5" ht="30" customHeight="1">
      <c r="A2164" s="4">
        <v>2162</v>
      </c>
      <c r="B2164" s="4" t="str">
        <f>"397120220607100732104107"</f>
        <v>397120220607100732104107</v>
      </c>
      <c r="C2164" s="4" t="s">
        <v>26</v>
      </c>
      <c r="D2164" s="4" t="str">
        <f>"苏诗中"</f>
        <v>苏诗中</v>
      </c>
      <c r="E2164" s="4" t="str">
        <f t="shared" si="99"/>
        <v>男</v>
      </c>
    </row>
    <row r="2165" spans="1:5" ht="30" customHeight="1">
      <c r="A2165" s="4">
        <v>2163</v>
      </c>
      <c r="B2165" s="4" t="str">
        <f>"397120220607113127105155"</f>
        <v>397120220607113127105155</v>
      </c>
      <c r="C2165" s="4" t="s">
        <v>26</v>
      </c>
      <c r="D2165" s="4" t="str">
        <f>"张运仕"</f>
        <v>张运仕</v>
      </c>
      <c r="E2165" s="4" t="str">
        <f t="shared" si="99"/>
        <v>男</v>
      </c>
    </row>
    <row r="2166" spans="1:5" ht="30" customHeight="1">
      <c r="A2166" s="4">
        <v>2164</v>
      </c>
      <c r="B2166" s="4" t="str">
        <f>"397120220607121400105542"</f>
        <v>397120220607121400105542</v>
      </c>
      <c r="C2166" s="4" t="s">
        <v>26</v>
      </c>
      <c r="D2166" s="4" t="str">
        <f>"邓正捷"</f>
        <v>邓正捷</v>
      </c>
      <c r="E2166" s="4" t="str">
        <f t="shared" si="99"/>
        <v>男</v>
      </c>
    </row>
    <row r="2167" spans="1:5" ht="30" customHeight="1">
      <c r="A2167" s="4">
        <v>2165</v>
      </c>
      <c r="B2167" s="4" t="str">
        <f>"397120220607130246105909"</f>
        <v>397120220607130246105909</v>
      </c>
      <c r="C2167" s="4" t="s">
        <v>26</v>
      </c>
      <c r="D2167" s="4" t="str">
        <f>"翁书海"</f>
        <v>翁书海</v>
      </c>
      <c r="E2167" s="4" t="str">
        <f t="shared" si="99"/>
        <v>男</v>
      </c>
    </row>
    <row r="2168" spans="1:5" ht="30" customHeight="1">
      <c r="A2168" s="4">
        <v>2166</v>
      </c>
      <c r="B2168" s="4" t="str">
        <f>"397120220607161250107536"</f>
        <v>397120220607161250107536</v>
      </c>
      <c r="C2168" s="4" t="s">
        <v>26</v>
      </c>
      <c r="D2168" s="4" t="str">
        <f>"李兴军"</f>
        <v>李兴军</v>
      </c>
      <c r="E2168" s="4" t="str">
        <f t="shared" si="99"/>
        <v>男</v>
      </c>
    </row>
    <row r="2169" spans="1:5" ht="30" customHeight="1">
      <c r="A2169" s="4">
        <v>2167</v>
      </c>
      <c r="B2169" s="4" t="str">
        <f>"397120220607163431107751"</f>
        <v>397120220607163431107751</v>
      </c>
      <c r="C2169" s="4" t="s">
        <v>26</v>
      </c>
      <c r="D2169" s="4" t="str">
        <f>"王建颖"</f>
        <v>王建颖</v>
      </c>
      <c r="E2169" s="4" t="str">
        <f>"女"</f>
        <v>女</v>
      </c>
    </row>
    <row r="2170" spans="1:5" ht="30" customHeight="1">
      <c r="A2170" s="4">
        <v>2168</v>
      </c>
      <c r="B2170" s="4" t="str">
        <f>"397120220607165425107937"</f>
        <v>397120220607165425107937</v>
      </c>
      <c r="C2170" s="4" t="s">
        <v>26</v>
      </c>
      <c r="D2170" s="4" t="str">
        <f>"刘阳"</f>
        <v>刘阳</v>
      </c>
      <c r="E2170" s="4" t="str">
        <f>"男"</f>
        <v>男</v>
      </c>
    </row>
    <row r="2171" spans="1:5" ht="30" customHeight="1">
      <c r="A2171" s="4">
        <v>2169</v>
      </c>
      <c r="B2171" s="4" t="str">
        <f>"397120220607181551108573"</f>
        <v>397120220607181551108573</v>
      </c>
      <c r="C2171" s="4" t="s">
        <v>26</v>
      </c>
      <c r="D2171" s="4" t="str">
        <f>"李玉锦"</f>
        <v>李玉锦</v>
      </c>
      <c r="E2171" s="4" t="str">
        <f>"男"</f>
        <v>男</v>
      </c>
    </row>
    <row r="2172" spans="1:5" ht="30" customHeight="1">
      <c r="A2172" s="4">
        <v>2170</v>
      </c>
      <c r="B2172" s="4" t="str">
        <f>"397120220607210112109591"</f>
        <v>397120220607210112109591</v>
      </c>
      <c r="C2172" s="4" t="s">
        <v>26</v>
      </c>
      <c r="D2172" s="4" t="str">
        <f>"陈振富"</f>
        <v>陈振富</v>
      </c>
      <c r="E2172" s="4" t="str">
        <f>"男"</f>
        <v>男</v>
      </c>
    </row>
    <row r="2173" spans="1:5" ht="30" customHeight="1">
      <c r="A2173" s="4">
        <v>2171</v>
      </c>
      <c r="B2173" s="4" t="str">
        <f>"397120220607210146109597"</f>
        <v>397120220607210146109597</v>
      </c>
      <c r="C2173" s="4" t="s">
        <v>26</v>
      </c>
      <c r="D2173" s="4" t="str">
        <f>"吴祖贤"</f>
        <v>吴祖贤</v>
      </c>
      <c r="E2173" s="4" t="str">
        <f>"男"</f>
        <v>男</v>
      </c>
    </row>
    <row r="2174" spans="1:5" ht="30" customHeight="1">
      <c r="A2174" s="4">
        <v>2172</v>
      </c>
      <c r="B2174" s="4" t="str">
        <f>"397120220607223652110305"</f>
        <v>397120220607223652110305</v>
      </c>
      <c r="C2174" s="4" t="s">
        <v>26</v>
      </c>
      <c r="D2174" s="4" t="str">
        <f>"计泽"</f>
        <v>计泽</v>
      </c>
      <c r="E2174" s="4" t="str">
        <f>"男"</f>
        <v>男</v>
      </c>
    </row>
    <row r="2175" spans="1:5" ht="30" customHeight="1">
      <c r="A2175" s="4">
        <v>2173</v>
      </c>
      <c r="B2175" s="4" t="str">
        <f>"397120220608103831112022"</f>
        <v>397120220608103831112022</v>
      </c>
      <c r="C2175" s="4" t="s">
        <v>26</v>
      </c>
      <c r="D2175" s="4" t="str">
        <f>"张爱娇"</f>
        <v>张爱娇</v>
      </c>
      <c r="E2175" s="4" t="str">
        <f aca="true" t="shared" si="100" ref="E2175:E2225">"女"</f>
        <v>女</v>
      </c>
    </row>
    <row r="2176" spans="1:5" ht="30" customHeight="1">
      <c r="A2176" s="4">
        <v>2174</v>
      </c>
      <c r="B2176" s="4" t="str">
        <f>"39712022060109020778193"</f>
        <v>39712022060109020778193</v>
      </c>
      <c r="C2176" s="4" t="s">
        <v>27</v>
      </c>
      <c r="D2176" s="4" t="str">
        <f>"周倩"</f>
        <v>周倩</v>
      </c>
      <c r="E2176" s="4" t="str">
        <f t="shared" si="100"/>
        <v>女</v>
      </c>
    </row>
    <row r="2177" spans="1:5" ht="30" customHeight="1">
      <c r="A2177" s="4">
        <v>2175</v>
      </c>
      <c r="B2177" s="4" t="str">
        <f>"39712022060109071678238"</f>
        <v>39712022060109071678238</v>
      </c>
      <c r="C2177" s="4" t="s">
        <v>27</v>
      </c>
      <c r="D2177" s="4" t="str">
        <f>"陈婉茜"</f>
        <v>陈婉茜</v>
      </c>
      <c r="E2177" s="4" t="str">
        <f t="shared" si="100"/>
        <v>女</v>
      </c>
    </row>
    <row r="2178" spans="1:5" ht="30" customHeight="1">
      <c r="A2178" s="4">
        <v>2176</v>
      </c>
      <c r="B2178" s="4" t="str">
        <f>"39712022060109091478262"</f>
        <v>39712022060109091478262</v>
      </c>
      <c r="C2178" s="4" t="s">
        <v>27</v>
      </c>
      <c r="D2178" s="4" t="str">
        <f>"何那女"</f>
        <v>何那女</v>
      </c>
      <c r="E2178" s="4" t="str">
        <f t="shared" si="100"/>
        <v>女</v>
      </c>
    </row>
    <row r="2179" spans="1:5" ht="30" customHeight="1">
      <c r="A2179" s="4">
        <v>2177</v>
      </c>
      <c r="B2179" s="4" t="str">
        <f>"39712022060109154878318"</f>
        <v>39712022060109154878318</v>
      </c>
      <c r="C2179" s="4" t="s">
        <v>27</v>
      </c>
      <c r="D2179" s="4" t="str">
        <f>"陈蕾"</f>
        <v>陈蕾</v>
      </c>
      <c r="E2179" s="4" t="str">
        <f t="shared" si="100"/>
        <v>女</v>
      </c>
    </row>
    <row r="2180" spans="1:5" ht="30" customHeight="1">
      <c r="A2180" s="4">
        <v>2178</v>
      </c>
      <c r="B2180" s="4" t="str">
        <f>"39712022060109162578322"</f>
        <v>39712022060109162578322</v>
      </c>
      <c r="C2180" s="4" t="s">
        <v>27</v>
      </c>
      <c r="D2180" s="4" t="str">
        <f>"谭纯妮"</f>
        <v>谭纯妮</v>
      </c>
      <c r="E2180" s="4" t="str">
        <f t="shared" si="100"/>
        <v>女</v>
      </c>
    </row>
    <row r="2181" spans="1:5" ht="30" customHeight="1">
      <c r="A2181" s="4">
        <v>2179</v>
      </c>
      <c r="B2181" s="4" t="str">
        <f>"39712022060109203678366"</f>
        <v>39712022060109203678366</v>
      </c>
      <c r="C2181" s="4" t="s">
        <v>27</v>
      </c>
      <c r="D2181" s="4" t="str">
        <f>"王曼珍"</f>
        <v>王曼珍</v>
      </c>
      <c r="E2181" s="4" t="str">
        <f t="shared" si="100"/>
        <v>女</v>
      </c>
    </row>
    <row r="2182" spans="1:5" ht="30" customHeight="1">
      <c r="A2182" s="4">
        <v>2180</v>
      </c>
      <c r="B2182" s="4" t="str">
        <f>"39712022060109285178446"</f>
        <v>39712022060109285178446</v>
      </c>
      <c r="C2182" s="4" t="s">
        <v>27</v>
      </c>
      <c r="D2182" s="4" t="str">
        <f>"黄海慧"</f>
        <v>黄海慧</v>
      </c>
      <c r="E2182" s="4" t="str">
        <f t="shared" si="100"/>
        <v>女</v>
      </c>
    </row>
    <row r="2183" spans="1:5" ht="30" customHeight="1">
      <c r="A2183" s="4">
        <v>2181</v>
      </c>
      <c r="B2183" s="4" t="str">
        <f>"39712022060109450378584"</f>
        <v>39712022060109450378584</v>
      </c>
      <c r="C2183" s="4" t="s">
        <v>27</v>
      </c>
      <c r="D2183" s="4" t="str">
        <f>"韩琼琼"</f>
        <v>韩琼琼</v>
      </c>
      <c r="E2183" s="4" t="str">
        <f t="shared" si="100"/>
        <v>女</v>
      </c>
    </row>
    <row r="2184" spans="1:5" ht="30" customHeight="1">
      <c r="A2184" s="4">
        <v>2182</v>
      </c>
      <c r="B2184" s="4" t="str">
        <f>"39712022060109461878593"</f>
        <v>39712022060109461878593</v>
      </c>
      <c r="C2184" s="4" t="s">
        <v>27</v>
      </c>
      <c r="D2184" s="4" t="str">
        <f>"谭静洁"</f>
        <v>谭静洁</v>
      </c>
      <c r="E2184" s="4" t="str">
        <f t="shared" si="100"/>
        <v>女</v>
      </c>
    </row>
    <row r="2185" spans="1:5" ht="30" customHeight="1">
      <c r="A2185" s="4">
        <v>2183</v>
      </c>
      <c r="B2185" s="4" t="str">
        <f>"39712022060109463178596"</f>
        <v>39712022060109463178596</v>
      </c>
      <c r="C2185" s="4" t="s">
        <v>27</v>
      </c>
      <c r="D2185" s="4" t="str">
        <f>"周先丽"</f>
        <v>周先丽</v>
      </c>
      <c r="E2185" s="4" t="str">
        <f t="shared" si="100"/>
        <v>女</v>
      </c>
    </row>
    <row r="2186" spans="1:5" ht="30" customHeight="1">
      <c r="A2186" s="4">
        <v>2184</v>
      </c>
      <c r="B2186" s="4" t="str">
        <f>"39712022060109473178606"</f>
        <v>39712022060109473178606</v>
      </c>
      <c r="C2186" s="4" t="s">
        <v>27</v>
      </c>
      <c r="D2186" s="4" t="str">
        <f>"王玉珏"</f>
        <v>王玉珏</v>
      </c>
      <c r="E2186" s="4" t="str">
        <f t="shared" si="100"/>
        <v>女</v>
      </c>
    </row>
    <row r="2187" spans="1:5" ht="30" customHeight="1">
      <c r="A2187" s="4">
        <v>2185</v>
      </c>
      <c r="B2187" s="4" t="str">
        <f>"39712022060109541978657"</f>
        <v>39712022060109541978657</v>
      </c>
      <c r="C2187" s="4" t="s">
        <v>27</v>
      </c>
      <c r="D2187" s="4" t="str">
        <f>"张岩"</f>
        <v>张岩</v>
      </c>
      <c r="E2187" s="4" t="str">
        <f t="shared" si="100"/>
        <v>女</v>
      </c>
    </row>
    <row r="2188" spans="1:5" ht="30" customHeight="1">
      <c r="A2188" s="4">
        <v>2186</v>
      </c>
      <c r="B2188" s="4" t="str">
        <f>"39712022060109592778709"</f>
        <v>39712022060109592778709</v>
      </c>
      <c r="C2188" s="4" t="s">
        <v>27</v>
      </c>
      <c r="D2188" s="4" t="str">
        <f>"常翠玲"</f>
        <v>常翠玲</v>
      </c>
      <c r="E2188" s="4" t="str">
        <f t="shared" si="100"/>
        <v>女</v>
      </c>
    </row>
    <row r="2189" spans="1:5" ht="30" customHeight="1">
      <c r="A2189" s="4">
        <v>2187</v>
      </c>
      <c r="B2189" s="4" t="str">
        <f>"39712022060110002278716"</f>
        <v>39712022060110002278716</v>
      </c>
      <c r="C2189" s="4" t="s">
        <v>27</v>
      </c>
      <c r="D2189" s="4" t="str">
        <f>"陈瑞香"</f>
        <v>陈瑞香</v>
      </c>
      <c r="E2189" s="4" t="str">
        <f t="shared" si="100"/>
        <v>女</v>
      </c>
    </row>
    <row r="2190" spans="1:5" ht="30" customHeight="1">
      <c r="A2190" s="4">
        <v>2188</v>
      </c>
      <c r="B2190" s="4" t="str">
        <f>"39712022060110004878721"</f>
        <v>39712022060110004878721</v>
      </c>
      <c r="C2190" s="4" t="s">
        <v>27</v>
      </c>
      <c r="D2190" s="4" t="str">
        <f>"吴多珍"</f>
        <v>吴多珍</v>
      </c>
      <c r="E2190" s="4" t="str">
        <f t="shared" si="100"/>
        <v>女</v>
      </c>
    </row>
    <row r="2191" spans="1:5" ht="30" customHeight="1">
      <c r="A2191" s="4">
        <v>2189</v>
      </c>
      <c r="B2191" s="4" t="str">
        <f>"39712022060110144778828"</f>
        <v>39712022060110144778828</v>
      </c>
      <c r="C2191" s="4" t="s">
        <v>27</v>
      </c>
      <c r="D2191" s="4" t="str">
        <f>"吴文佳"</f>
        <v>吴文佳</v>
      </c>
      <c r="E2191" s="4" t="str">
        <f t="shared" si="100"/>
        <v>女</v>
      </c>
    </row>
    <row r="2192" spans="1:5" ht="30" customHeight="1">
      <c r="A2192" s="4">
        <v>2190</v>
      </c>
      <c r="B2192" s="4" t="str">
        <f>"39712022060110223878889"</f>
        <v>39712022060110223878889</v>
      </c>
      <c r="C2192" s="4" t="s">
        <v>27</v>
      </c>
      <c r="D2192" s="4" t="str">
        <f>"张儒燕"</f>
        <v>张儒燕</v>
      </c>
      <c r="E2192" s="4" t="str">
        <f t="shared" si="100"/>
        <v>女</v>
      </c>
    </row>
    <row r="2193" spans="1:5" ht="30" customHeight="1">
      <c r="A2193" s="4">
        <v>2191</v>
      </c>
      <c r="B2193" s="4" t="str">
        <f>"39712022060110240678906"</f>
        <v>39712022060110240678906</v>
      </c>
      <c r="C2193" s="4" t="s">
        <v>27</v>
      </c>
      <c r="D2193" s="4" t="str">
        <f>"文椿"</f>
        <v>文椿</v>
      </c>
      <c r="E2193" s="4" t="str">
        <f t="shared" si="100"/>
        <v>女</v>
      </c>
    </row>
    <row r="2194" spans="1:5" ht="30" customHeight="1">
      <c r="A2194" s="4">
        <v>2192</v>
      </c>
      <c r="B2194" s="4" t="str">
        <f>"39712022060110245378911"</f>
        <v>39712022060110245378911</v>
      </c>
      <c r="C2194" s="4" t="s">
        <v>27</v>
      </c>
      <c r="D2194" s="4" t="str">
        <f>"钱玉婷"</f>
        <v>钱玉婷</v>
      </c>
      <c r="E2194" s="4" t="str">
        <f t="shared" si="100"/>
        <v>女</v>
      </c>
    </row>
    <row r="2195" spans="1:5" ht="30" customHeight="1">
      <c r="A2195" s="4">
        <v>2193</v>
      </c>
      <c r="B2195" s="4" t="str">
        <f>"39712022060110262678924"</f>
        <v>39712022060110262678924</v>
      </c>
      <c r="C2195" s="4" t="s">
        <v>27</v>
      </c>
      <c r="D2195" s="4" t="str">
        <f>"郑康敏"</f>
        <v>郑康敏</v>
      </c>
      <c r="E2195" s="4" t="str">
        <f t="shared" si="100"/>
        <v>女</v>
      </c>
    </row>
    <row r="2196" spans="1:5" ht="30" customHeight="1">
      <c r="A2196" s="4">
        <v>2194</v>
      </c>
      <c r="B2196" s="4" t="str">
        <f>"39712022060110481179097"</f>
        <v>39712022060110481179097</v>
      </c>
      <c r="C2196" s="4" t="s">
        <v>27</v>
      </c>
      <c r="D2196" s="4" t="str">
        <f>"温淑岚"</f>
        <v>温淑岚</v>
      </c>
      <c r="E2196" s="4" t="str">
        <f t="shared" si="100"/>
        <v>女</v>
      </c>
    </row>
    <row r="2197" spans="1:5" ht="30" customHeight="1">
      <c r="A2197" s="4">
        <v>2195</v>
      </c>
      <c r="B2197" s="4" t="str">
        <f>"39712022060110482679101"</f>
        <v>39712022060110482679101</v>
      </c>
      <c r="C2197" s="4" t="s">
        <v>27</v>
      </c>
      <c r="D2197" s="4" t="str">
        <f>"王月莹"</f>
        <v>王月莹</v>
      </c>
      <c r="E2197" s="4" t="str">
        <f t="shared" si="100"/>
        <v>女</v>
      </c>
    </row>
    <row r="2198" spans="1:5" ht="30" customHeight="1">
      <c r="A2198" s="4">
        <v>2196</v>
      </c>
      <c r="B2198" s="4" t="str">
        <f>"39712022060110484579106"</f>
        <v>39712022060110484579106</v>
      </c>
      <c r="C2198" s="4" t="s">
        <v>27</v>
      </c>
      <c r="D2198" s="4" t="str">
        <f>"赵佳欣"</f>
        <v>赵佳欣</v>
      </c>
      <c r="E2198" s="4" t="str">
        <f t="shared" si="100"/>
        <v>女</v>
      </c>
    </row>
    <row r="2199" spans="1:5" ht="30" customHeight="1">
      <c r="A2199" s="4">
        <v>2197</v>
      </c>
      <c r="B2199" s="4" t="str">
        <f>"39712022060110512579122"</f>
        <v>39712022060110512579122</v>
      </c>
      <c r="C2199" s="4" t="s">
        <v>27</v>
      </c>
      <c r="D2199" s="4" t="str">
        <f>"洪杰米"</f>
        <v>洪杰米</v>
      </c>
      <c r="E2199" s="4" t="str">
        <f t="shared" si="100"/>
        <v>女</v>
      </c>
    </row>
    <row r="2200" spans="1:5" ht="30" customHeight="1">
      <c r="A2200" s="4">
        <v>2198</v>
      </c>
      <c r="B2200" s="4" t="str">
        <f>"39712022060110563679159"</f>
        <v>39712022060110563679159</v>
      </c>
      <c r="C2200" s="4" t="s">
        <v>27</v>
      </c>
      <c r="D2200" s="4" t="str">
        <f>"蒋大波"</f>
        <v>蒋大波</v>
      </c>
      <c r="E2200" s="4" t="str">
        <f t="shared" si="100"/>
        <v>女</v>
      </c>
    </row>
    <row r="2201" spans="1:5" ht="30" customHeight="1">
      <c r="A2201" s="4">
        <v>2199</v>
      </c>
      <c r="B2201" s="4" t="str">
        <f>"39712022060110564879161"</f>
        <v>39712022060110564879161</v>
      </c>
      <c r="C2201" s="4" t="s">
        <v>27</v>
      </c>
      <c r="D2201" s="4" t="str">
        <f>"谢小静"</f>
        <v>谢小静</v>
      </c>
      <c r="E2201" s="4" t="str">
        <f t="shared" si="100"/>
        <v>女</v>
      </c>
    </row>
    <row r="2202" spans="1:5" ht="30" customHeight="1">
      <c r="A2202" s="4">
        <v>2200</v>
      </c>
      <c r="B2202" s="4" t="str">
        <f>"39712022060110582679177"</f>
        <v>39712022060110582679177</v>
      </c>
      <c r="C2202" s="4" t="s">
        <v>27</v>
      </c>
      <c r="D2202" s="4" t="str">
        <f>"李金霞"</f>
        <v>李金霞</v>
      </c>
      <c r="E2202" s="4" t="str">
        <f t="shared" si="100"/>
        <v>女</v>
      </c>
    </row>
    <row r="2203" spans="1:5" ht="30" customHeight="1">
      <c r="A2203" s="4">
        <v>2201</v>
      </c>
      <c r="B2203" s="4" t="str">
        <f>"39712022060110582779178"</f>
        <v>39712022060110582779178</v>
      </c>
      <c r="C2203" s="4" t="s">
        <v>27</v>
      </c>
      <c r="D2203" s="4" t="str">
        <f>"王必"</f>
        <v>王必</v>
      </c>
      <c r="E2203" s="4" t="str">
        <f t="shared" si="100"/>
        <v>女</v>
      </c>
    </row>
    <row r="2204" spans="1:5" ht="30" customHeight="1">
      <c r="A2204" s="4">
        <v>2202</v>
      </c>
      <c r="B2204" s="4" t="str">
        <f>"39712022060111021679210"</f>
        <v>39712022060111021679210</v>
      </c>
      <c r="C2204" s="4" t="s">
        <v>27</v>
      </c>
      <c r="D2204" s="4" t="str">
        <f>"陈南"</f>
        <v>陈南</v>
      </c>
      <c r="E2204" s="4" t="str">
        <f t="shared" si="100"/>
        <v>女</v>
      </c>
    </row>
    <row r="2205" spans="1:5" ht="30" customHeight="1">
      <c r="A2205" s="4">
        <v>2203</v>
      </c>
      <c r="B2205" s="4" t="str">
        <f>"39712022060111134879302"</f>
        <v>39712022060111134879302</v>
      </c>
      <c r="C2205" s="4" t="s">
        <v>27</v>
      </c>
      <c r="D2205" s="4" t="str">
        <f>"冯志冲"</f>
        <v>冯志冲</v>
      </c>
      <c r="E2205" s="4" t="str">
        <f t="shared" si="100"/>
        <v>女</v>
      </c>
    </row>
    <row r="2206" spans="1:5" ht="30" customHeight="1">
      <c r="A2206" s="4">
        <v>2204</v>
      </c>
      <c r="B2206" s="4" t="str">
        <f>"39712022060111135279303"</f>
        <v>39712022060111135279303</v>
      </c>
      <c r="C2206" s="4" t="s">
        <v>27</v>
      </c>
      <c r="D2206" s="4" t="str">
        <f>"周雯"</f>
        <v>周雯</v>
      </c>
      <c r="E2206" s="4" t="str">
        <f t="shared" si="100"/>
        <v>女</v>
      </c>
    </row>
    <row r="2207" spans="1:5" ht="30" customHeight="1">
      <c r="A2207" s="4">
        <v>2205</v>
      </c>
      <c r="B2207" s="4" t="str">
        <f>"39712022060111175779340"</f>
        <v>39712022060111175779340</v>
      </c>
      <c r="C2207" s="4" t="s">
        <v>27</v>
      </c>
      <c r="D2207" s="4" t="str">
        <f>"李娜"</f>
        <v>李娜</v>
      </c>
      <c r="E2207" s="4" t="str">
        <f t="shared" si="100"/>
        <v>女</v>
      </c>
    </row>
    <row r="2208" spans="1:5" ht="30" customHeight="1">
      <c r="A2208" s="4">
        <v>2206</v>
      </c>
      <c r="B2208" s="4" t="str">
        <f>"39712022060111194379351"</f>
        <v>39712022060111194379351</v>
      </c>
      <c r="C2208" s="4" t="s">
        <v>27</v>
      </c>
      <c r="D2208" s="4" t="str">
        <f>"苏娜"</f>
        <v>苏娜</v>
      </c>
      <c r="E2208" s="4" t="str">
        <f t="shared" si="100"/>
        <v>女</v>
      </c>
    </row>
    <row r="2209" spans="1:5" ht="30" customHeight="1">
      <c r="A2209" s="4">
        <v>2207</v>
      </c>
      <c r="B2209" s="4" t="str">
        <f>"39712022060111210779361"</f>
        <v>39712022060111210779361</v>
      </c>
      <c r="C2209" s="4" t="s">
        <v>27</v>
      </c>
      <c r="D2209" s="4" t="str">
        <f>"杜微"</f>
        <v>杜微</v>
      </c>
      <c r="E2209" s="4" t="str">
        <f t="shared" si="100"/>
        <v>女</v>
      </c>
    </row>
    <row r="2210" spans="1:5" ht="30" customHeight="1">
      <c r="A2210" s="4">
        <v>2208</v>
      </c>
      <c r="B2210" s="4" t="str">
        <f>"39712022060111223579373"</f>
        <v>39712022060111223579373</v>
      </c>
      <c r="C2210" s="4" t="s">
        <v>27</v>
      </c>
      <c r="D2210" s="4" t="str">
        <f>"陈美珍"</f>
        <v>陈美珍</v>
      </c>
      <c r="E2210" s="4" t="str">
        <f t="shared" si="100"/>
        <v>女</v>
      </c>
    </row>
    <row r="2211" spans="1:5" ht="30" customHeight="1">
      <c r="A2211" s="4">
        <v>2209</v>
      </c>
      <c r="B2211" s="4" t="str">
        <f>"39712022060111272579405"</f>
        <v>39712022060111272579405</v>
      </c>
      <c r="C2211" s="4" t="s">
        <v>27</v>
      </c>
      <c r="D2211" s="4" t="str">
        <f>"陈君"</f>
        <v>陈君</v>
      </c>
      <c r="E2211" s="4" t="str">
        <f t="shared" si="100"/>
        <v>女</v>
      </c>
    </row>
    <row r="2212" spans="1:5" ht="30" customHeight="1">
      <c r="A2212" s="4">
        <v>2210</v>
      </c>
      <c r="B2212" s="4" t="str">
        <f>"39712022060111312379442"</f>
        <v>39712022060111312379442</v>
      </c>
      <c r="C2212" s="4" t="s">
        <v>27</v>
      </c>
      <c r="D2212" s="4" t="str">
        <f>"张丽虹"</f>
        <v>张丽虹</v>
      </c>
      <c r="E2212" s="4" t="str">
        <f t="shared" si="100"/>
        <v>女</v>
      </c>
    </row>
    <row r="2213" spans="1:5" ht="30" customHeight="1">
      <c r="A2213" s="4">
        <v>2211</v>
      </c>
      <c r="B2213" s="4" t="str">
        <f>"39712022060111313079444"</f>
        <v>39712022060111313079444</v>
      </c>
      <c r="C2213" s="4" t="s">
        <v>27</v>
      </c>
      <c r="D2213" s="4" t="str">
        <f>"伍婵"</f>
        <v>伍婵</v>
      </c>
      <c r="E2213" s="4" t="str">
        <f t="shared" si="100"/>
        <v>女</v>
      </c>
    </row>
    <row r="2214" spans="1:5" ht="30" customHeight="1">
      <c r="A2214" s="4">
        <v>2212</v>
      </c>
      <c r="B2214" s="4" t="str">
        <f>"39712022060111400279500"</f>
        <v>39712022060111400279500</v>
      </c>
      <c r="C2214" s="4" t="s">
        <v>27</v>
      </c>
      <c r="D2214" s="4" t="str">
        <f>"林苗苗"</f>
        <v>林苗苗</v>
      </c>
      <c r="E2214" s="4" t="str">
        <f t="shared" si="100"/>
        <v>女</v>
      </c>
    </row>
    <row r="2215" spans="1:5" ht="30" customHeight="1">
      <c r="A2215" s="4">
        <v>2213</v>
      </c>
      <c r="B2215" s="4" t="str">
        <f>"39712022060111403379502"</f>
        <v>39712022060111403379502</v>
      </c>
      <c r="C2215" s="4" t="s">
        <v>27</v>
      </c>
      <c r="D2215" s="4" t="str">
        <f>"王婷"</f>
        <v>王婷</v>
      </c>
      <c r="E2215" s="4" t="str">
        <f t="shared" si="100"/>
        <v>女</v>
      </c>
    </row>
    <row r="2216" spans="1:5" ht="30" customHeight="1">
      <c r="A2216" s="4">
        <v>2214</v>
      </c>
      <c r="B2216" s="4" t="str">
        <f>"39712022060111430579513"</f>
        <v>39712022060111430579513</v>
      </c>
      <c r="C2216" s="4" t="s">
        <v>27</v>
      </c>
      <c r="D2216" s="4" t="str">
        <f>"陈小小"</f>
        <v>陈小小</v>
      </c>
      <c r="E2216" s="4" t="str">
        <f t="shared" si="100"/>
        <v>女</v>
      </c>
    </row>
    <row r="2217" spans="1:5" ht="30" customHeight="1">
      <c r="A2217" s="4">
        <v>2215</v>
      </c>
      <c r="B2217" s="4" t="str">
        <f>"39712022060111473679535"</f>
        <v>39712022060111473679535</v>
      </c>
      <c r="C2217" s="4" t="s">
        <v>27</v>
      </c>
      <c r="D2217" s="4" t="str">
        <f>"姜叶"</f>
        <v>姜叶</v>
      </c>
      <c r="E2217" s="4" t="str">
        <f t="shared" si="100"/>
        <v>女</v>
      </c>
    </row>
    <row r="2218" spans="1:5" ht="30" customHeight="1">
      <c r="A2218" s="4">
        <v>2216</v>
      </c>
      <c r="B2218" s="4" t="str">
        <f>"39712022060111593779597"</f>
        <v>39712022060111593779597</v>
      </c>
      <c r="C2218" s="4" t="s">
        <v>27</v>
      </c>
      <c r="D2218" s="4" t="str">
        <f>"唐丽萍"</f>
        <v>唐丽萍</v>
      </c>
      <c r="E2218" s="4" t="str">
        <f t="shared" si="100"/>
        <v>女</v>
      </c>
    </row>
    <row r="2219" spans="1:5" ht="30" customHeight="1">
      <c r="A2219" s="4">
        <v>2217</v>
      </c>
      <c r="B2219" s="4" t="str">
        <f>"39712022060112014179606"</f>
        <v>39712022060112014179606</v>
      </c>
      <c r="C2219" s="4" t="s">
        <v>27</v>
      </c>
      <c r="D2219" s="4" t="str">
        <f>"邢增汝"</f>
        <v>邢增汝</v>
      </c>
      <c r="E2219" s="4" t="str">
        <f t="shared" si="100"/>
        <v>女</v>
      </c>
    </row>
    <row r="2220" spans="1:5" ht="30" customHeight="1">
      <c r="A2220" s="4">
        <v>2218</v>
      </c>
      <c r="B2220" s="4" t="str">
        <f>"39712022060112071479633"</f>
        <v>39712022060112071479633</v>
      </c>
      <c r="C2220" s="4" t="s">
        <v>27</v>
      </c>
      <c r="D2220" s="4" t="str">
        <f>"杨瑾"</f>
        <v>杨瑾</v>
      </c>
      <c r="E2220" s="4" t="str">
        <f t="shared" si="100"/>
        <v>女</v>
      </c>
    </row>
    <row r="2221" spans="1:5" ht="30" customHeight="1">
      <c r="A2221" s="4">
        <v>2219</v>
      </c>
      <c r="B2221" s="4" t="str">
        <f>"39712022060112100379652"</f>
        <v>39712022060112100379652</v>
      </c>
      <c r="C2221" s="4" t="s">
        <v>27</v>
      </c>
      <c r="D2221" s="4" t="str">
        <f>"文晓翠"</f>
        <v>文晓翠</v>
      </c>
      <c r="E2221" s="4" t="str">
        <f t="shared" si="100"/>
        <v>女</v>
      </c>
    </row>
    <row r="2222" spans="1:5" ht="30" customHeight="1">
      <c r="A2222" s="4">
        <v>2220</v>
      </c>
      <c r="B2222" s="4" t="str">
        <f>"39712022060112210779714"</f>
        <v>39712022060112210779714</v>
      </c>
      <c r="C2222" s="4" t="s">
        <v>27</v>
      </c>
      <c r="D2222" s="4" t="str">
        <f>"王丽"</f>
        <v>王丽</v>
      </c>
      <c r="E2222" s="4" t="str">
        <f t="shared" si="100"/>
        <v>女</v>
      </c>
    </row>
    <row r="2223" spans="1:5" ht="30" customHeight="1">
      <c r="A2223" s="4">
        <v>2221</v>
      </c>
      <c r="B2223" s="4" t="str">
        <f>"39712022060112280879742"</f>
        <v>39712022060112280879742</v>
      </c>
      <c r="C2223" s="4" t="s">
        <v>27</v>
      </c>
      <c r="D2223" s="4" t="str">
        <f>"吴霄燕"</f>
        <v>吴霄燕</v>
      </c>
      <c r="E2223" s="4" t="str">
        <f t="shared" si="100"/>
        <v>女</v>
      </c>
    </row>
    <row r="2224" spans="1:5" ht="30" customHeight="1">
      <c r="A2224" s="4">
        <v>2222</v>
      </c>
      <c r="B2224" s="4" t="str">
        <f>"39712022060112295779759"</f>
        <v>39712022060112295779759</v>
      </c>
      <c r="C2224" s="4" t="s">
        <v>27</v>
      </c>
      <c r="D2224" s="4" t="str">
        <f>"黄垂青"</f>
        <v>黄垂青</v>
      </c>
      <c r="E2224" s="4" t="str">
        <f t="shared" si="100"/>
        <v>女</v>
      </c>
    </row>
    <row r="2225" spans="1:5" ht="30" customHeight="1">
      <c r="A2225" s="4">
        <v>2223</v>
      </c>
      <c r="B2225" s="4" t="str">
        <f>"39712022060112373179804"</f>
        <v>39712022060112373179804</v>
      </c>
      <c r="C2225" s="4" t="s">
        <v>27</v>
      </c>
      <c r="D2225" s="4" t="str">
        <f>"吴井爱"</f>
        <v>吴井爱</v>
      </c>
      <c r="E2225" s="4" t="str">
        <f t="shared" si="100"/>
        <v>女</v>
      </c>
    </row>
    <row r="2226" spans="1:5" ht="30" customHeight="1">
      <c r="A2226" s="4">
        <v>2224</v>
      </c>
      <c r="B2226" s="4" t="str">
        <f>"39712022060112374379805"</f>
        <v>39712022060112374379805</v>
      </c>
      <c r="C2226" s="4" t="s">
        <v>27</v>
      </c>
      <c r="D2226" s="4" t="str">
        <f>"黄财庆"</f>
        <v>黄财庆</v>
      </c>
      <c r="E2226" s="4" t="str">
        <f>"男"</f>
        <v>男</v>
      </c>
    </row>
    <row r="2227" spans="1:5" ht="30" customHeight="1">
      <c r="A2227" s="4">
        <v>2225</v>
      </c>
      <c r="B2227" s="4" t="str">
        <f>"39712022060112385679808"</f>
        <v>39712022060112385679808</v>
      </c>
      <c r="C2227" s="4" t="s">
        <v>27</v>
      </c>
      <c r="D2227" s="4" t="str">
        <f>"符娉"</f>
        <v>符娉</v>
      </c>
      <c r="E2227" s="4" t="str">
        <f aca="true" t="shared" si="101" ref="E2227:E2238">"女"</f>
        <v>女</v>
      </c>
    </row>
    <row r="2228" spans="1:5" ht="30" customHeight="1">
      <c r="A2228" s="4">
        <v>2226</v>
      </c>
      <c r="B2228" s="4" t="str">
        <f>"39712022060112462479844"</f>
        <v>39712022060112462479844</v>
      </c>
      <c r="C2228" s="4" t="s">
        <v>27</v>
      </c>
      <c r="D2228" s="4" t="str">
        <f>"杨澄渝"</f>
        <v>杨澄渝</v>
      </c>
      <c r="E2228" s="4" t="str">
        <f t="shared" si="101"/>
        <v>女</v>
      </c>
    </row>
    <row r="2229" spans="1:5" ht="30" customHeight="1">
      <c r="A2229" s="4">
        <v>2227</v>
      </c>
      <c r="B2229" s="4" t="str">
        <f>"39712022060112545979891"</f>
        <v>39712022060112545979891</v>
      </c>
      <c r="C2229" s="4" t="s">
        <v>27</v>
      </c>
      <c r="D2229" s="4" t="str">
        <f>"姜姗姗"</f>
        <v>姜姗姗</v>
      </c>
      <c r="E2229" s="4" t="str">
        <f t="shared" si="101"/>
        <v>女</v>
      </c>
    </row>
    <row r="2230" spans="1:5" ht="30" customHeight="1">
      <c r="A2230" s="4">
        <v>2228</v>
      </c>
      <c r="B2230" s="4" t="str">
        <f>"39712022060112571379903"</f>
        <v>39712022060112571379903</v>
      </c>
      <c r="C2230" s="4" t="s">
        <v>27</v>
      </c>
      <c r="D2230" s="4" t="str">
        <f>"文雅"</f>
        <v>文雅</v>
      </c>
      <c r="E2230" s="4" t="str">
        <f t="shared" si="101"/>
        <v>女</v>
      </c>
    </row>
    <row r="2231" spans="1:5" ht="30" customHeight="1">
      <c r="A2231" s="4">
        <v>2229</v>
      </c>
      <c r="B2231" s="4" t="str">
        <f>"39712022060113012379925"</f>
        <v>39712022060113012379925</v>
      </c>
      <c r="C2231" s="4" t="s">
        <v>27</v>
      </c>
      <c r="D2231" s="4" t="str">
        <f>"蔡华丽"</f>
        <v>蔡华丽</v>
      </c>
      <c r="E2231" s="4" t="str">
        <f t="shared" si="101"/>
        <v>女</v>
      </c>
    </row>
    <row r="2232" spans="1:5" ht="30" customHeight="1">
      <c r="A2232" s="4">
        <v>2230</v>
      </c>
      <c r="B2232" s="4" t="str">
        <f>"39712022060113030679930"</f>
        <v>39712022060113030679930</v>
      </c>
      <c r="C2232" s="4" t="s">
        <v>27</v>
      </c>
      <c r="D2232" s="4" t="str">
        <f>"李燕妙"</f>
        <v>李燕妙</v>
      </c>
      <c r="E2232" s="4" t="str">
        <f t="shared" si="101"/>
        <v>女</v>
      </c>
    </row>
    <row r="2233" spans="1:5" ht="30" customHeight="1">
      <c r="A2233" s="4">
        <v>2231</v>
      </c>
      <c r="B2233" s="4" t="str">
        <f>"39712022060113061379954"</f>
        <v>39712022060113061379954</v>
      </c>
      <c r="C2233" s="4" t="s">
        <v>27</v>
      </c>
      <c r="D2233" s="4" t="str">
        <f>"张晶琴"</f>
        <v>张晶琴</v>
      </c>
      <c r="E2233" s="4" t="str">
        <f t="shared" si="101"/>
        <v>女</v>
      </c>
    </row>
    <row r="2234" spans="1:5" ht="30" customHeight="1">
      <c r="A2234" s="4">
        <v>2232</v>
      </c>
      <c r="B2234" s="4" t="str">
        <f>"39712022060113110879971"</f>
        <v>39712022060113110879971</v>
      </c>
      <c r="C2234" s="4" t="s">
        <v>27</v>
      </c>
      <c r="D2234" s="4" t="str">
        <f>"刘水英"</f>
        <v>刘水英</v>
      </c>
      <c r="E2234" s="4" t="str">
        <f t="shared" si="101"/>
        <v>女</v>
      </c>
    </row>
    <row r="2235" spans="1:5" ht="30" customHeight="1">
      <c r="A2235" s="4">
        <v>2233</v>
      </c>
      <c r="B2235" s="4" t="str">
        <f>"39712022060113230680030"</f>
        <v>39712022060113230680030</v>
      </c>
      <c r="C2235" s="4" t="s">
        <v>27</v>
      </c>
      <c r="D2235" s="4" t="str">
        <f>"杨迪淇"</f>
        <v>杨迪淇</v>
      </c>
      <c r="E2235" s="4" t="str">
        <f t="shared" si="101"/>
        <v>女</v>
      </c>
    </row>
    <row r="2236" spans="1:5" ht="30" customHeight="1">
      <c r="A2236" s="4">
        <v>2234</v>
      </c>
      <c r="B2236" s="4" t="str">
        <f>"39712022060113260780040"</f>
        <v>39712022060113260780040</v>
      </c>
      <c r="C2236" s="4" t="s">
        <v>27</v>
      </c>
      <c r="D2236" s="4" t="str">
        <f>"庄兀"</f>
        <v>庄兀</v>
      </c>
      <c r="E2236" s="4" t="str">
        <f t="shared" si="101"/>
        <v>女</v>
      </c>
    </row>
    <row r="2237" spans="1:5" ht="30" customHeight="1">
      <c r="A2237" s="4">
        <v>2235</v>
      </c>
      <c r="B2237" s="4" t="str">
        <f>"39712022060113330680074"</f>
        <v>39712022060113330680074</v>
      </c>
      <c r="C2237" s="4" t="s">
        <v>27</v>
      </c>
      <c r="D2237" s="4" t="str">
        <f>"吴健婵"</f>
        <v>吴健婵</v>
      </c>
      <c r="E2237" s="4" t="str">
        <f t="shared" si="101"/>
        <v>女</v>
      </c>
    </row>
    <row r="2238" spans="1:5" ht="30" customHeight="1">
      <c r="A2238" s="4">
        <v>2236</v>
      </c>
      <c r="B2238" s="4" t="str">
        <f>"39712022060113344980085"</f>
        <v>39712022060113344980085</v>
      </c>
      <c r="C2238" s="4" t="s">
        <v>27</v>
      </c>
      <c r="D2238" s="4" t="str">
        <f>"李肇林"</f>
        <v>李肇林</v>
      </c>
      <c r="E2238" s="4" t="str">
        <f t="shared" si="101"/>
        <v>女</v>
      </c>
    </row>
    <row r="2239" spans="1:5" ht="30" customHeight="1">
      <c r="A2239" s="4">
        <v>2237</v>
      </c>
      <c r="B2239" s="4" t="str">
        <f>"39712022060113384580102"</f>
        <v>39712022060113384580102</v>
      </c>
      <c r="C2239" s="4" t="s">
        <v>27</v>
      </c>
      <c r="D2239" s="4" t="str">
        <f>"王彬"</f>
        <v>王彬</v>
      </c>
      <c r="E2239" s="4" t="str">
        <f>"男"</f>
        <v>男</v>
      </c>
    </row>
    <row r="2240" spans="1:5" ht="30" customHeight="1">
      <c r="A2240" s="4">
        <v>2238</v>
      </c>
      <c r="B2240" s="4" t="str">
        <f>"39712022060113393180103"</f>
        <v>39712022060113393180103</v>
      </c>
      <c r="C2240" s="4" t="s">
        <v>27</v>
      </c>
      <c r="D2240" s="4" t="str">
        <f>"柯林呈"</f>
        <v>柯林呈</v>
      </c>
      <c r="E2240" s="4" t="str">
        <f aca="true" t="shared" si="102" ref="E2240:E2303">"女"</f>
        <v>女</v>
      </c>
    </row>
    <row r="2241" spans="1:5" ht="30" customHeight="1">
      <c r="A2241" s="4">
        <v>2239</v>
      </c>
      <c r="B2241" s="4" t="str">
        <f>"39712022060113403680110"</f>
        <v>39712022060113403680110</v>
      </c>
      <c r="C2241" s="4" t="s">
        <v>27</v>
      </c>
      <c r="D2241" s="4" t="str">
        <f>"谢京汝"</f>
        <v>谢京汝</v>
      </c>
      <c r="E2241" s="4" t="str">
        <f t="shared" si="102"/>
        <v>女</v>
      </c>
    </row>
    <row r="2242" spans="1:5" ht="30" customHeight="1">
      <c r="A2242" s="4">
        <v>2240</v>
      </c>
      <c r="B2242" s="4" t="str">
        <f>"39712022060113461380128"</f>
        <v>39712022060113461380128</v>
      </c>
      <c r="C2242" s="4" t="s">
        <v>27</v>
      </c>
      <c r="D2242" s="4" t="str">
        <f>"迟嘉"</f>
        <v>迟嘉</v>
      </c>
      <c r="E2242" s="4" t="str">
        <f t="shared" si="102"/>
        <v>女</v>
      </c>
    </row>
    <row r="2243" spans="1:5" ht="30" customHeight="1">
      <c r="A2243" s="4">
        <v>2241</v>
      </c>
      <c r="B2243" s="4" t="str">
        <f>"39712022060113572780162"</f>
        <v>39712022060113572780162</v>
      </c>
      <c r="C2243" s="4" t="s">
        <v>27</v>
      </c>
      <c r="D2243" s="4" t="str">
        <f>"黄丽萍"</f>
        <v>黄丽萍</v>
      </c>
      <c r="E2243" s="4" t="str">
        <f t="shared" si="102"/>
        <v>女</v>
      </c>
    </row>
    <row r="2244" spans="1:5" ht="30" customHeight="1">
      <c r="A2244" s="4">
        <v>2242</v>
      </c>
      <c r="B2244" s="4" t="str">
        <f>"39712022060114412580336"</f>
        <v>39712022060114412580336</v>
      </c>
      <c r="C2244" s="4" t="s">
        <v>27</v>
      </c>
      <c r="D2244" s="4" t="str">
        <f>"陈彩云"</f>
        <v>陈彩云</v>
      </c>
      <c r="E2244" s="4" t="str">
        <f t="shared" si="102"/>
        <v>女</v>
      </c>
    </row>
    <row r="2245" spans="1:5" ht="30" customHeight="1">
      <c r="A2245" s="4">
        <v>2243</v>
      </c>
      <c r="B2245" s="4" t="str">
        <f>"39712022060114530180392"</f>
        <v>39712022060114530180392</v>
      </c>
      <c r="C2245" s="4" t="s">
        <v>27</v>
      </c>
      <c r="D2245" s="4" t="str">
        <f>"李亚男"</f>
        <v>李亚男</v>
      </c>
      <c r="E2245" s="4" t="str">
        <f t="shared" si="102"/>
        <v>女</v>
      </c>
    </row>
    <row r="2246" spans="1:5" ht="30" customHeight="1">
      <c r="A2246" s="4">
        <v>2244</v>
      </c>
      <c r="B2246" s="4" t="str">
        <f>"39712022060114584980423"</f>
        <v>39712022060114584980423</v>
      </c>
      <c r="C2246" s="4" t="s">
        <v>27</v>
      </c>
      <c r="D2246" s="4" t="str">
        <f>"胡玲"</f>
        <v>胡玲</v>
      </c>
      <c r="E2246" s="4" t="str">
        <f t="shared" si="102"/>
        <v>女</v>
      </c>
    </row>
    <row r="2247" spans="1:5" ht="30" customHeight="1">
      <c r="A2247" s="4">
        <v>2245</v>
      </c>
      <c r="B2247" s="4" t="str">
        <f>"39712022060114590480424"</f>
        <v>39712022060114590480424</v>
      </c>
      <c r="C2247" s="4" t="s">
        <v>27</v>
      </c>
      <c r="D2247" s="4" t="str">
        <f>"王华琴"</f>
        <v>王华琴</v>
      </c>
      <c r="E2247" s="4" t="str">
        <f t="shared" si="102"/>
        <v>女</v>
      </c>
    </row>
    <row r="2248" spans="1:5" ht="30" customHeight="1">
      <c r="A2248" s="4">
        <v>2246</v>
      </c>
      <c r="B2248" s="4" t="str">
        <f>"39712022060114593880430"</f>
        <v>39712022060114593880430</v>
      </c>
      <c r="C2248" s="4" t="s">
        <v>27</v>
      </c>
      <c r="D2248" s="4" t="str">
        <f>"罗小惠"</f>
        <v>罗小惠</v>
      </c>
      <c r="E2248" s="4" t="str">
        <f t="shared" si="102"/>
        <v>女</v>
      </c>
    </row>
    <row r="2249" spans="1:5" ht="30" customHeight="1">
      <c r="A2249" s="4">
        <v>2247</v>
      </c>
      <c r="B2249" s="4" t="str">
        <f>"39712022060115031280445"</f>
        <v>39712022060115031280445</v>
      </c>
      <c r="C2249" s="4" t="s">
        <v>27</v>
      </c>
      <c r="D2249" s="4" t="str">
        <f>"薛阳阳"</f>
        <v>薛阳阳</v>
      </c>
      <c r="E2249" s="4" t="str">
        <f t="shared" si="102"/>
        <v>女</v>
      </c>
    </row>
    <row r="2250" spans="1:5" ht="30" customHeight="1">
      <c r="A2250" s="4">
        <v>2248</v>
      </c>
      <c r="B2250" s="4" t="str">
        <f>"39712022060115043480454"</f>
        <v>39712022060115043480454</v>
      </c>
      <c r="C2250" s="4" t="s">
        <v>27</v>
      </c>
      <c r="D2250" s="4" t="str">
        <f>"云春蕊"</f>
        <v>云春蕊</v>
      </c>
      <c r="E2250" s="4" t="str">
        <f t="shared" si="102"/>
        <v>女</v>
      </c>
    </row>
    <row r="2251" spans="1:5" ht="30" customHeight="1">
      <c r="A2251" s="4">
        <v>2249</v>
      </c>
      <c r="B2251" s="4" t="str">
        <f>"39712022060115141280508"</f>
        <v>39712022060115141280508</v>
      </c>
      <c r="C2251" s="4" t="s">
        <v>27</v>
      </c>
      <c r="D2251" s="4" t="str">
        <f>"符曼青"</f>
        <v>符曼青</v>
      </c>
      <c r="E2251" s="4" t="str">
        <f t="shared" si="102"/>
        <v>女</v>
      </c>
    </row>
    <row r="2252" spans="1:5" ht="30" customHeight="1">
      <c r="A2252" s="4">
        <v>2250</v>
      </c>
      <c r="B2252" s="4" t="str">
        <f>"39712022060115254180576"</f>
        <v>39712022060115254180576</v>
      </c>
      <c r="C2252" s="4" t="s">
        <v>27</v>
      </c>
      <c r="D2252" s="4" t="str">
        <f>"文怡"</f>
        <v>文怡</v>
      </c>
      <c r="E2252" s="4" t="str">
        <f t="shared" si="102"/>
        <v>女</v>
      </c>
    </row>
    <row r="2253" spans="1:5" ht="30" customHeight="1">
      <c r="A2253" s="4">
        <v>2251</v>
      </c>
      <c r="B2253" s="4" t="str">
        <f>"39712022060115260780582"</f>
        <v>39712022060115260780582</v>
      </c>
      <c r="C2253" s="4" t="s">
        <v>27</v>
      </c>
      <c r="D2253" s="4" t="str">
        <f>"宋洁"</f>
        <v>宋洁</v>
      </c>
      <c r="E2253" s="4" t="str">
        <f t="shared" si="102"/>
        <v>女</v>
      </c>
    </row>
    <row r="2254" spans="1:5" ht="30" customHeight="1">
      <c r="A2254" s="4">
        <v>2252</v>
      </c>
      <c r="B2254" s="4" t="str">
        <f>"39712022060115264280587"</f>
        <v>39712022060115264280587</v>
      </c>
      <c r="C2254" s="4" t="s">
        <v>27</v>
      </c>
      <c r="D2254" s="4" t="str">
        <f>"王碧丽"</f>
        <v>王碧丽</v>
      </c>
      <c r="E2254" s="4" t="str">
        <f t="shared" si="102"/>
        <v>女</v>
      </c>
    </row>
    <row r="2255" spans="1:5" ht="30" customHeight="1">
      <c r="A2255" s="4">
        <v>2253</v>
      </c>
      <c r="B2255" s="4" t="str">
        <f>"39712022060115282580606"</f>
        <v>39712022060115282580606</v>
      </c>
      <c r="C2255" s="4" t="s">
        <v>27</v>
      </c>
      <c r="D2255" s="4" t="str">
        <f>"吴雪蓉"</f>
        <v>吴雪蓉</v>
      </c>
      <c r="E2255" s="4" t="str">
        <f t="shared" si="102"/>
        <v>女</v>
      </c>
    </row>
    <row r="2256" spans="1:5" ht="30" customHeight="1">
      <c r="A2256" s="4">
        <v>2254</v>
      </c>
      <c r="B2256" s="4" t="str">
        <f>"39712022060115283280607"</f>
        <v>39712022060115283280607</v>
      </c>
      <c r="C2256" s="4" t="s">
        <v>27</v>
      </c>
      <c r="D2256" s="4" t="str">
        <f>"赵联馨"</f>
        <v>赵联馨</v>
      </c>
      <c r="E2256" s="4" t="str">
        <f t="shared" si="102"/>
        <v>女</v>
      </c>
    </row>
    <row r="2257" spans="1:5" ht="30" customHeight="1">
      <c r="A2257" s="4">
        <v>2255</v>
      </c>
      <c r="B2257" s="4" t="str">
        <f>"39712022060115344780644"</f>
        <v>39712022060115344780644</v>
      </c>
      <c r="C2257" s="4" t="s">
        <v>27</v>
      </c>
      <c r="D2257" s="4" t="str">
        <f>"蒋婉婷"</f>
        <v>蒋婉婷</v>
      </c>
      <c r="E2257" s="4" t="str">
        <f t="shared" si="102"/>
        <v>女</v>
      </c>
    </row>
    <row r="2258" spans="1:5" ht="30" customHeight="1">
      <c r="A2258" s="4">
        <v>2256</v>
      </c>
      <c r="B2258" s="4" t="str">
        <f>"39712022060115391480667"</f>
        <v>39712022060115391480667</v>
      </c>
      <c r="C2258" s="4" t="s">
        <v>27</v>
      </c>
      <c r="D2258" s="4" t="str">
        <f>"唐薇薇"</f>
        <v>唐薇薇</v>
      </c>
      <c r="E2258" s="4" t="str">
        <f t="shared" si="102"/>
        <v>女</v>
      </c>
    </row>
    <row r="2259" spans="1:5" ht="30" customHeight="1">
      <c r="A2259" s="4">
        <v>2257</v>
      </c>
      <c r="B2259" s="4" t="str">
        <f>"39712022060115480280724"</f>
        <v>39712022060115480280724</v>
      </c>
      <c r="C2259" s="4" t="s">
        <v>27</v>
      </c>
      <c r="D2259" s="4" t="str">
        <f>"王献娇"</f>
        <v>王献娇</v>
      </c>
      <c r="E2259" s="4" t="str">
        <f t="shared" si="102"/>
        <v>女</v>
      </c>
    </row>
    <row r="2260" spans="1:5" ht="30" customHeight="1">
      <c r="A2260" s="4">
        <v>2258</v>
      </c>
      <c r="B2260" s="4" t="str">
        <f>"39712022060115594180790"</f>
        <v>39712022060115594180790</v>
      </c>
      <c r="C2260" s="4" t="s">
        <v>27</v>
      </c>
      <c r="D2260" s="4" t="str">
        <f>"温嘉慧"</f>
        <v>温嘉慧</v>
      </c>
      <c r="E2260" s="4" t="str">
        <f t="shared" si="102"/>
        <v>女</v>
      </c>
    </row>
    <row r="2261" spans="1:5" ht="30" customHeight="1">
      <c r="A2261" s="4">
        <v>2259</v>
      </c>
      <c r="B2261" s="4" t="str">
        <f>"39712022060116030380802"</f>
        <v>39712022060116030380802</v>
      </c>
      <c r="C2261" s="4" t="s">
        <v>27</v>
      </c>
      <c r="D2261" s="4" t="str">
        <f>"苏肖育"</f>
        <v>苏肖育</v>
      </c>
      <c r="E2261" s="4" t="str">
        <f t="shared" si="102"/>
        <v>女</v>
      </c>
    </row>
    <row r="2262" spans="1:5" ht="30" customHeight="1">
      <c r="A2262" s="4">
        <v>2260</v>
      </c>
      <c r="B2262" s="4" t="str">
        <f>"39712022060116133480878"</f>
        <v>39712022060116133480878</v>
      </c>
      <c r="C2262" s="4" t="s">
        <v>27</v>
      </c>
      <c r="D2262" s="4" t="str">
        <f>"陈菲"</f>
        <v>陈菲</v>
      </c>
      <c r="E2262" s="4" t="str">
        <f t="shared" si="102"/>
        <v>女</v>
      </c>
    </row>
    <row r="2263" spans="1:5" ht="30" customHeight="1">
      <c r="A2263" s="4">
        <v>2261</v>
      </c>
      <c r="B2263" s="4" t="str">
        <f>"39712022060116183780905"</f>
        <v>39712022060116183780905</v>
      </c>
      <c r="C2263" s="4" t="s">
        <v>27</v>
      </c>
      <c r="D2263" s="4" t="str">
        <f>"林婷"</f>
        <v>林婷</v>
      </c>
      <c r="E2263" s="4" t="str">
        <f t="shared" si="102"/>
        <v>女</v>
      </c>
    </row>
    <row r="2264" spans="1:5" ht="30" customHeight="1">
      <c r="A2264" s="4">
        <v>2262</v>
      </c>
      <c r="B2264" s="4" t="str">
        <f>"39712022060116235680941"</f>
        <v>39712022060116235680941</v>
      </c>
      <c r="C2264" s="4" t="s">
        <v>27</v>
      </c>
      <c r="D2264" s="4" t="str">
        <f>"张晓翠"</f>
        <v>张晓翠</v>
      </c>
      <c r="E2264" s="4" t="str">
        <f t="shared" si="102"/>
        <v>女</v>
      </c>
    </row>
    <row r="2265" spans="1:5" ht="30" customHeight="1">
      <c r="A2265" s="4">
        <v>2263</v>
      </c>
      <c r="B2265" s="4" t="str">
        <f>"39712022060116413881039"</f>
        <v>39712022060116413881039</v>
      </c>
      <c r="C2265" s="4" t="s">
        <v>27</v>
      </c>
      <c r="D2265" s="4" t="str">
        <f>"高丽"</f>
        <v>高丽</v>
      </c>
      <c r="E2265" s="4" t="str">
        <f t="shared" si="102"/>
        <v>女</v>
      </c>
    </row>
    <row r="2266" spans="1:5" ht="30" customHeight="1">
      <c r="A2266" s="4">
        <v>2264</v>
      </c>
      <c r="B2266" s="4" t="str">
        <f>"39712022060116464681063"</f>
        <v>39712022060116464681063</v>
      </c>
      <c r="C2266" s="4" t="s">
        <v>27</v>
      </c>
      <c r="D2266" s="4" t="str">
        <f>"罗晨芳"</f>
        <v>罗晨芳</v>
      </c>
      <c r="E2266" s="4" t="str">
        <f t="shared" si="102"/>
        <v>女</v>
      </c>
    </row>
    <row r="2267" spans="1:5" ht="30" customHeight="1">
      <c r="A2267" s="4">
        <v>2265</v>
      </c>
      <c r="B2267" s="4" t="str">
        <f>"39712022060116474881072"</f>
        <v>39712022060116474881072</v>
      </c>
      <c r="C2267" s="4" t="s">
        <v>27</v>
      </c>
      <c r="D2267" s="4" t="str">
        <f>"林祝"</f>
        <v>林祝</v>
      </c>
      <c r="E2267" s="4" t="str">
        <f t="shared" si="102"/>
        <v>女</v>
      </c>
    </row>
    <row r="2268" spans="1:5" ht="30" customHeight="1">
      <c r="A2268" s="4">
        <v>2266</v>
      </c>
      <c r="B2268" s="4" t="str">
        <f>"39712022060116491681079"</f>
        <v>39712022060116491681079</v>
      </c>
      <c r="C2268" s="4" t="s">
        <v>27</v>
      </c>
      <c r="D2268" s="4" t="str">
        <f>"李婉姿"</f>
        <v>李婉姿</v>
      </c>
      <c r="E2268" s="4" t="str">
        <f t="shared" si="102"/>
        <v>女</v>
      </c>
    </row>
    <row r="2269" spans="1:5" ht="30" customHeight="1">
      <c r="A2269" s="4">
        <v>2267</v>
      </c>
      <c r="B2269" s="4" t="str">
        <f>"39712022060116512781089"</f>
        <v>39712022060116512781089</v>
      </c>
      <c r="C2269" s="4" t="s">
        <v>27</v>
      </c>
      <c r="D2269" s="4" t="str">
        <f>"梁真芸"</f>
        <v>梁真芸</v>
      </c>
      <c r="E2269" s="4" t="str">
        <f t="shared" si="102"/>
        <v>女</v>
      </c>
    </row>
    <row r="2270" spans="1:5" ht="30" customHeight="1">
      <c r="A2270" s="4">
        <v>2268</v>
      </c>
      <c r="B2270" s="4" t="str">
        <f>"39712022060117034881153"</f>
        <v>39712022060117034881153</v>
      </c>
      <c r="C2270" s="4" t="s">
        <v>27</v>
      </c>
      <c r="D2270" s="4" t="str">
        <f>"李娜"</f>
        <v>李娜</v>
      </c>
      <c r="E2270" s="4" t="str">
        <f t="shared" si="102"/>
        <v>女</v>
      </c>
    </row>
    <row r="2271" spans="1:5" ht="30" customHeight="1">
      <c r="A2271" s="4">
        <v>2269</v>
      </c>
      <c r="B2271" s="4" t="str">
        <f>"39712022060117082881183"</f>
        <v>39712022060117082881183</v>
      </c>
      <c r="C2271" s="4" t="s">
        <v>27</v>
      </c>
      <c r="D2271" s="4" t="str">
        <f>"黄肖婷"</f>
        <v>黄肖婷</v>
      </c>
      <c r="E2271" s="4" t="str">
        <f t="shared" si="102"/>
        <v>女</v>
      </c>
    </row>
    <row r="2272" spans="1:5" ht="30" customHeight="1">
      <c r="A2272" s="4">
        <v>2270</v>
      </c>
      <c r="B2272" s="4" t="str">
        <f>"39712022060117250281279"</f>
        <v>39712022060117250281279</v>
      </c>
      <c r="C2272" s="4" t="s">
        <v>27</v>
      </c>
      <c r="D2272" s="4" t="str">
        <f>"王文河"</f>
        <v>王文河</v>
      </c>
      <c r="E2272" s="4" t="str">
        <f t="shared" si="102"/>
        <v>女</v>
      </c>
    </row>
    <row r="2273" spans="1:5" ht="30" customHeight="1">
      <c r="A2273" s="4">
        <v>2271</v>
      </c>
      <c r="B2273" s="4" t="str">
        <f>"39712022060117252181280"</f>
        <v>39712022060117252181280</v>
      </c>
      <c r="C2273" s="4" t="s">
        <v>27</v>
      </c>
      <c r="D2273" s="4" t="str">
        <f>"许碧慧"</f>
        <v>许碧慧</v>
      </c>
      <c r="E2273" s="4" t="str">
        <f t="shared" si="102"/>
        <v>女</v>
      </c>
    </row>
    <row r="2274" spans="1:5" ht="30" customHeight="1">
      <c r="A2274" s="4">
        <v>2272</v>
      </c>
      <c r="B2274" s="4" t="str">
        <f>"39712022060117572981444"</f>
        <v>39712022060117572981444</v>
      </c>
      <c r="C2274" s="4" t="s">
        <v>27</v>
      </c>
      <c r="D2274" s="4" t="str">
        <f>"吴京娇"</f>
        <v>吴京娇</v>
      </c>
      <c r="E2274" s="4" t="str">
        <f t="shared" si="102"/>
        <v>女</v>
      </c>
    </row>
    <row r="2275" spans="1:5" ht="30" customHeight="1">
      <c r="A2275" s="4">
        <v>2273</v>
      </c>
      <c r="B2275" s="4" t="str">
        <f>"39712022060118093181491"</f>
        <v>39712022060118093181491</v>
      </c>
      <c r="C2275" s="4" t="s">
        <v>27</v>
      </c>
      <c r="D2275" s="4" t="str">
        <f>"陈会"</f>
        <v>陈会</v>
      </c>
      <c r="E2275" s="4" t="str">
        <f t="shared" si="102"/>
        <v>女</v>
      </c>
    </row>
    <row r="2276" spans="1:5" ht="30" customHeight="1">
      <c r="A2276" s="4">
        <v>2274</v>
      </c>
      <c r="B2276" s="4" t="str">
        <f>"39712022060118222181553"</f>
        <v>39712022060118222181553</v>
      </c>
      <c r="C2276" s="4" t="s">
        <v>27</v>
      </c>
      <c r="D2276" s="4" t="str">
        <f>"苏香苑"</f>
        <v>苏香苑</v>
      </c>
      <c r="E2276" s="4" t="str">
        <f t="shared" si="102"/>
        <v>女</v>
      </c>
    </row>
    <row r="2277" spans="1:5" ht="30" customHeight="1">
      <c r="A2277" s="4">
        <v>2275</v>
      </c>
      <c r="B2277" s="4" t="str">
        <f>"39712022060118363081614"</f>
        <v>39712022060118363081614</v>
      </c>
      <c r="C2277" s="4" t="s">
        <v>27</v>
      </c>
      <c r="D2277" s="4" t="str">
        <f>"吴高敏"</f>
        <v>吴高敏</v>
      </c>
      <c r="E2277" s="4" t="str">
        <f t="shared" si="102"/>
        <v>女</v>
      </c>
    </row>
    <row r="2278" spans="1:5" ht="30" customHeight="1">
      <c r="A2278" s="4">
        <v>2276</v>
      </c>
      <c r="B2278" s="4" t="str">
        <f>"39712022060118593981702"</f>
        <v>39712022060118593981702</v>
      </c>
      <c r="C2278" s="4" t="s">
        <v>27</v>
      </c>
      <c r="D2278" s="4" t="str">
        <f>"袁道萃"</f>
        <v>袁道萃</v>
      </c>
      <c r="E2278" s="4" t="str">
        <f t="shared" si="102"/>
        <v>女</v>
      </c>
    </row>
    <row r="2279" spans="1:5" ht="30" customHeight="1">
      <c r="A2279" s="4">
        <v>2277</v>
      </c>
      <c r="B2279" s="4" t="str">
        <f>"39712022060119003281707"</f>
        <v>39712022060119003281707</v>
      </c>
      <c r="C2279" s="4" t="s">
        <v>27</v>
      </c>
      <c r="D2279" s="4" t="str">
        <f>"张余曼"</f>
        <v>张余曼</v>
      </c>
      <c r="E2279" s="4" t="str">
        <f t="shared" si="102"/>
        <v>女</v>
      </c>
    </row>
    <row r="2280" spans="1:5" ht="30" customHeight="1">
      <c r="A2280" s="4">
        <v>2278</v>
      </c>
      <c r="B2280" s="4" t="str">
        <f>"39712022060119442481880"</f>
        <v>39712022060119442481880</v>
      </c>
      <c r="C2280" s="4" t="s">
        <v>27</v>
      </c>
      <c r="D2280" s="4" t="str">
        <f>"黄萍"</f>
        <v>黄萍</v>
      </c>
      <c r="E2280" s="4" t="str">
        <f t="shared" si="102"/>
        <v>女</v>
      </c>
    </row>
    <row r="2281" spans="1:5" ht="30" customHeight="1">
      <c r="A2281" s="4">
        <v>2279</v>
      </c>
      <c r="B2281" s="4" t="str">
        <f>"39712022060120041681971"</f>
        <v>39712022060120041681971</v>
      </c>
      <c r="C2281" s="4" t="s">
        <v>27</v>
      </c>
      <c r="D2281" s="4" t="str">
        <f>"符晓丹"</f>
        <v>符晓丹</v>
      </c>
      <c r="E2281" s="4" t="str">
        <f t="shared" si="102"/>
        <v>女</v>
      </c>
    </row>
    <row r="2282" spans="1:5" ht="30" customHeight="1">
      <c r="A2282" s="4">
        <v>2280</v>
      </c>
      <c r="B2282" s="4" t="str">
        <f>"39712022060120110682002"</f>
        <v>39712022060120110682002</v>
      </c>
      <c r="C2282" s="4" t="s">
        <v>27</v>
      </c>
      <c r="D2282" s="4" t="str">
        <f>"潘晓波"</f>
        <v>潘晓波</v>
      </c>
      <c r="E2282" s="4" t="str">
        <f t="shared" si="102"/>
        <v>女</v>
      </c>
    </row>
    <row r="2283" spans="1:5" ht="30" customHeight="1">
      <c r="A2283" s="4">
        <v>2281</v>
      </c>
      <c r="B2283" s="4" t="str">
        <f>"39712022060120124082005"</f>
        <v>39712022060120124082005</v>
      </c>
      <c r="C2283" s="4" t="s">
        <v>27</v>
      </c>
      <c r="D2283" s="4" t="str">
        <f>"蔡金桂"</f>
        <v>蔡金桂</v>
      </c>
      <c r="E2283" s="4" t="str">
        <f t="shared" si="102"/>
        <v>女</v>
      </c>
    </row>
    <row r="2284" spans="1:5" ht="30" customHeight="1">
      <c r="A2284" s="4">
        <v>2282</v>
      </c>
      <c r="B2284" s="4" t="str">
        <f>"39712022060120130082008"</f>
        <v>39712022060120130082008</v>
      </c>
      <c r="C2284" s="4" t="s">
        <v>27</v>
      </c>
      <c r="D2284" s="4" t="str">
        <f>"陈亚亲"</f>
        <v>陈亚亲</v>
      </c>
      <c r="E2284" s="4" t="str">
        <f t="shared" si="102"/>
        <v>女</v>
      </c>
    </row>
    <row r="2285" spans="1:5" ht="30" customHeight="1">
      <c r="A2285" s="4">
        <v>2283</v>
      </c>
      <c r="B2285" s="4" t="str">
        <f>"39712022060120203782041"</f>
        <v>39712022060120203782041</v>
      </c>
      <c r="C2285" s="4" t="s">
        <v>27</v>
      </c>
      <c r="D2285" s="4" t="str">
        <f>"羊引花"</f>
        <v>羊引花</v>
      </c>
      <c r="E2285" s="4" t="str">
        <f t="shared" si="102"/>
        <v>女</v>
      </c>
    </row>
    <row r="2286" spans="1:5" ht="30" customHeight="1">
      <c r="A2286" s="4">
        <v>2284</v>
      </c>
      <c r="B2286" s="4" t="str">
        <f>"39712022060120264382065"</f>
        <v>39712022060120264382065</v>
      </c>
      <c r="C2286" s="4" t="s">
        <v>27</v>
      </c>
      <c r="D2286" s="4" t="str">
        <f>"马丽雯"</f>
        <v>马丽雯</v>
      </c>
      <c r="E2286" s="4" t="str">
        <f t="shared" si="102"/>
        <v>女</v>
      </c>
    </row>
    <row r="2287" spans="1:5" ht="30" customHeight="1">
      <c r="A2287" s="4">
        <v>2285</v>
      </c>
      <c r="B2287" s="4" t="str">
        <f>"39712022060120352682109"</f>
        <v>39712022060120352682109</v>
      </c>
      <c r="C2287" s="4" t="s">
        <v>27</v>
      </c>
      <c r="D2287" s="4" t="str">
        <f>"王燕"</f>
        <v>王燕</v>
      </c>
      <c r="E2287" s="4" t="str">
        <f t="shared" si="102"/>
        <v>女</v>
      </c>
    </row>
    <row r="2288" spans="1:5" ht="30" customHeight="1">
      <c r="A2288" s="4">
        <v>2286</v>
      </c>
      <c r="B2288" s="4" t="str">
        <f>"39712022060120500082178"</f>
        <v>39712022060120500082178</v>
      </c>
      <c r="C2288" s="4" t="s">
        <v>27</v>
      </c>
      <c r="D2288" s="4" t="str">
        <f>"曾钰瑾"</f>
        <v>曾钰瑾</v>
      </c>
      <c r="E2288" s="4" t="str">
        <f t="shared" si="102"/>
        <v>女</v>
      </c>
    </row>
    <row r="2289" spans="1:5" ht="30" customHeight="1">
      <c r="A2289" s="4">
        <v>2287</v>
      </c>
      <c r="B2289" s="4" t="str">
        <f>"39712022060120502182183"</f>
        <v>39712022060120502182183</v>
      </c>
      <c r="C2289" s="4" t="s">
        <v>27</v>
      </c>
      <c r="D2289" s="4" t="str">
        <f>"范惠平"</f>
        <v>范惠平</v>
      </c>
      <c r="E2289" s="4" t="str">
        <f t="shared" si="102"/>
        <v>女</v>
      </c>
    </row>
    <row r="2290" spans="1:5" ht="30" customHeight="1">
      <c r="A2290" s="4">
        <v>2288</v>
      </c>
      <c r="B2290" s="4" t="str">
        <f>"39712022060121005182231"</f>
        <v>39712022060121005182231</v>
      </c>
      <c r="C2290" s="4" t="s">
        <v>27</v>
      </c>
      <c r="D2290" s="4" t="str">
        <f>"龙涛"</f>
        <v>龙涛</v>
      </c>
      <c r="E2290" s="4" t="str">
        <f t="shared" si="102"/>
        <v>女</v>
      </c>
    </row>
    <row r="2291" spans="1:5" ht="30" customHeight="1">
      <c r="A2291" s="4">
        <v>2289</v>
      </c>
      <c r="B2291" s="4" t="str">
        <f>"39712022060121034582249"</f>
        <v>39712022060121034582249</v>
      </c>
      <c r="C2291" s="4" t="s">
        <v>27</v>
      </c>
      <c r="D2291" s="4" t="str">
        <f>"冯菁菁"</f>
        <v>冯菁菁</v>
      </c>
      <c r="E2291" s="4" t="str">
        <f t="shared" si="102"/>
        <v>女</v>
      </c>
    </row>
    <row r="2292" spans="1:5" ht="30" customHeight="1">
      <c r="A2292" s="4">
        <v>2290</v>
      </c>
      <c r="B2292" s="4" t="str">
        <f>"39712022060121044882253"</f>
        <v>39712022060121044882253</v>
      </c>
      <c r="C2292" s="4" t="s">
        <v>27</v>
      </c>
      <c r="D2292" s="4" t="str">
        <f>"陈少花"</f>
        <v>陈少花</v>
      </c>
      <c r="E2292" s="4" t="str">
        <f t="shared" si="102"/>
        <v>女</v>
      </c>
    </row>
    <row r="2293" spans="1:5" ht="30" customHeight="1">
      <c r="A2293" s="4">
        <v>2291</v>
      </c>
      <c r="B2293" s="4" t="str">
        <f>"39712022060121085382272"</f>
        <v>39712022060121085382272</v>
      </c>
      <c r="C2293" s="4" t="s">
        <v>27</v>
      </c>
      <c r="D2293" s="4" t="str">
        <f>"符莲花"</f>
        <v>符莲花</v>
      </c>
      <c r="E2293" s="4" t="str">
        <f t="shared" si="102"/>
        <v>女</v>
      </c>
    </row>
    <row r="2294" spans="1:5" ht="30" customHeight="1">
      <c r="A2294" s="4">
        <v>2292</v>
      </c>
      <c r="B2294" s="4" t="str">
        <f>"39712022060121125782292"</f>
        <v>39712022060121125782292</v>
      </c>
      <c r="C2294" s="4" t="s">
        <v>27</v>
      </c>
      <c r="D2294" s="4" t="str">
        <f>"莫春燕"</f>
        <v>莫春燕</v>
      </c>
      <c r="E2294" s="4" t="str">
        <f t="shared" si="102"/>
        <v>女</v>
      </c>
    </row>
    <row r="2295" spans="1:5" ht="30" customHeight="1">
      <c r="A2295" s="4">
        <v>2293</v>
      </c>
      <c r="B2295" s="4" t="str">
        <f>"39712022060121150482297"</f>
        <v>39712022060121150482297</v>
      </c>
      <c r="C2295" s="4" t="s">
        <v>27</v>
      </c>
      <c r="D2295" s="4" t="str">
        <f>"林文英"</f>
        <v>林文英</v>
      </c>
      <c r="E2295" s="4" t="str">
        <f t="shared" si="102"/>
        <v>女</v>
      </c>
    </row>
    <row r="2296" spans="1:5" ht="30" customHeight="1">
      <c r="A2296" s="4">
        <v>2294</v>
      </c>
      <c r="B2296" s="4" t="str">
        <f>"39712022060121201982329"</f>
        <v>39712022060121201982329</v>
      </c>
      <c r="C2296" s="4" t="s">
        <v>27</v>
      </c>
      <c r="D2296" s="4" t="str">
        <f>"林秀丽"</f>
        <v>林秀丽</v>
      </c>
      <c r="E2296" s="4" t="str">
        <f t="shared" si="102"/>
        <v>女</v>
      </c>
    </row>
    <row r="2297" spans="1:5" ht="30" customHeight="1">
      <c r="A2297" s="4">
        <v>2295</v>
      </c>
      <c r="B2297" s="4" t="str">
        <f>"39712022060121293782375"</f>
        <v>39712022060121293782375</v>
      </c>
      <c r="C2297" s="4" t="s">
        <v>27</v>
      </c>
      <c r="D2297" s="4" t="str">
        <f>"林小玉"</f>
        <v>林小玉</v>
      </c>
      <c r="E2297" s="4" t="str">
        <f t="shared" si="102"/>
        <v>女</v>
      </c>
    </row>
    <row r="2298" spans="1:5" ht="30" customHeight="1">
      <c r="A2298" s="4">
        <v>2296</v>
      </c>
      <c r="B2298" s="4" t="str">
        <f>"39712022060121425682457"</f>
        <v>39712022060121425682457</v>
      </c>
      <c r="C2298" s="4" t="s">
        <v>27</v>
      </c>
      <c r="D2298" s="4" t="str">
        <f>"符丹凤"</f>
        <v>符丹凤</v>
      </c>
      <c r="E2298" s="4" t="str">
        <f t="shared" si="102"/>
        <v>女</v>
      </c>
    </row>
    <row r="2299" spans="1:5" ht="30" customHeight="1">
      <c r="A2299" s="4">
        <v>2297</v>
      </c>
      <c r="B2299" s="4" t="str">
        <f>"39712022060121463382480"</f>
        <v>39712022060121463382480</v>
      </c>
      <c r="C2299" s="4" t="s">
        <v>27</v>
      </c>
      <c r="D2299" s="4" t="str">
        <f>"蔡汝娜"</f>
        <v>蔡汝娜</v>
      </c>
      <c r="E2299" s="4" t="str">
        <f t="shared" si="102"/>
        <v>女</v>
      </c>
    </row>
    <row r="2300" spans="1:5" ht="30" customHeight="1">
      <c r="A2300" s="4">
        <v>2298</v>
      </c>
      <c r="B2300" s="4" t="str">
        <f>"39712022060121571182541"</f>
        <v>39712022060121571182541</v>
      </c>
      <c r="C2300" s="4" t="s">
        <v>27</v>
      </c>
      <c r="D2300" s="4" t="str">
        <f>"陈瑞玲"</f>
        <v>陈瑞玲</v>
      </c>
      <c r="E2300" s="4" t="str">
        <f t="shared" si="102"/>
        <v>女</v>
      </c>
    </row>
    <row r="2301" spans="1:5" ht="30" customHeight="1">
      <c r="A2301" s="4">
        <v>2299</v>
      </c>
      <c r="B2301" s="4" t="str">
        <f>"39712022060122015082566"</f>
        <v>39712022060122015082566</v>
      </c>
      <c r="C2301" s="4" t="s">
        <v>27</v>
      </c>
      <c r="D2301" s="4" t="str">
        <f>"黄子倪"</f>
        <v>黄子倪</v>
      </c>
      <c r="E2301" s="4" t="str">
        <f t="shared" si="102"/>
        <v>女</v>
      </c>
    </row>
    <row r="2302" spans="1:5" ht="30" customHeight="1">
      <c r="A2302" s="4">
        <v>2300</v>
      </c>
      <c r="B2302" s="4" t="str">
        <f>"39712022060122134882638"</f>
        <v>39712022060122134882638</v>
      </c>
      <c r="C2302" s="4" t="s">
        <v>27</v>
      </c>
      <c r="D2302" s="4" t="str">
        <f>"张珠"</f>
        <v>张珠</v>
      </c>
      <c r="E2302" s="4" t="str">
        <f t="shared" si="102"/>
        <v>女</v>
      </c>
    </row>
    <row r="2303" spans="1:5" ht="30" customHeight="1">
      <c r="A2303" s="4">
        <v>2301</v>
      </c>
      <c r="B2303" s="4" t="str">
        <f>"39712022060122504082816"</f>
        <v>39712022060122504082816</v>
      </c>
      <c r="C2303" s="4" t="s">
        <v>27</v>
      </c>
      <c r="D2303" s="4" t="str">
        <f>"李茹媛"</f>
        <v>李茹媛</v>
      </c>
      <c r="E2303" s="4" t="str">
        <f t="shared" si="102"/>
        <v>女</v>
      </c>
    </row>
    <row r="2304" spans="1:5" ht="30" customHeight="1">
      <c r="A2304" s="4">
        <v>2302</v>
      </c>
      <c r="B2304" s="4" t="str">
        <f>"39712022060122514382826"</f>
        <v>39712022060122514382826</v>
      </c>
      <c r="C2304" s="4" t="s">
        <v>27</v>
      </c>
      <c r="D2304" s="4" t="str">
        <f>"张建萍"</f>
        <v>张建萍</v>
      </c>
      <c r="E2304" s="4" t="str">
        <f aca="true" t="shared" si="103" ref="E2304:E2320">"女"</f>
        <v>女</v>
      </c>
    </row>
    <row r="2305" spans="1:5" ht="30" customHeight="1">
      <c r="A2305" s="4">
        <v>2303</v>
      </c>
      <c r="B2305" s="4" t="str">
        <f>"39712022060122565282852"</f>
        <v>39712022060122565282852</v>
      </c>
      <c r="C2305" s="4" t="s">
        <v>27</v>
      </c>
      <c r="D2305" s="4" t="str">
        <f>"吴欢"</f>
        <v>吴欢</v>
      </c>
      <c r="E2305" s="4" t="str">
        <f t="shared" si="103"/>
        <v>女</v>
      </c>
    </row>
    <row r="2306" spans="1:5" ht="30" customHeight="1">
      <c r="A2306" s="4">
        <v>2304</v>
      </c>
      <c r="B2306" s="4" t="str">
        <f>"39712022060123135282921"</f>
        <v>39712022060123135282921</v>
      </c>
      <c r="C2306" s="4" t="s">
        <v>27</v>
      </c>
      <c r="D2306" s="4" t="str">
        <f>"邱庆烨"</f>
        <v>邱庆烨</v>
      </c>
      <c r="E2306" s="4" t="str">
        <f t="shared" si="103"/>
        <v>女</v>
      </c>
    </row>
    <row r="2307" spans="1:5" ht="30" customHeight="1">
      <c r="A2307" s="4">
        <v>2305</v>
      </c>
      <c r="B2307" s="4" t="str">
        <f>"39712022060123263082955"</f>
        <v>39712022060123263082955</v>
      </c>
      <c r="C2307" s="4" t="s">
        <v>27</v>
      </c>
      <c r="D2307" s="4" t="str">
        <f>"王敏超"</f>
        <v>王敏超</v>
      </c>
      <c r="E2307" s="4" t="str">
        <f t="shared" si="103"/>
        <v>女</v>
      </c>
    </row>
    <row r="2308" spans="1:5" ht="30" customHeight="1">
      <c r="A2308" s="4">
        <v>2306</v>
      </c>
      <c r="B2308" s="4" t="str">
        <f>"39712022060123363582983"</f>
        <v>39712022060123363582983</v>
      </c>
      <c r="C2308" s="4" t="s">
        <v>27</v>
      </c>
      <c r="D2308" s="4" t="str">
        <f>"王江莲"</f>
        <v>王江莲</v>
      </c>
      <c r="E2308" s="4" t="str">
        <f t="shared" si="103"/>
        <v>女</v>
      </c>
    </row>
    <row r="2309" spans="1:5" ht="30" customHeight="1">
      <c r="A2309" s="4">
        <v>2307</v>
      </c>
      <c r="B2309" s="4" t="str">
        <f>"39712022060123501783019"</f>
        <v>39712022060123501783019</v>
      </c>
      <c r="C2309" s="4" t="s">
        <v>27</v>
      </c>
      <c r="D2309" s="4" t="str">
        <f>"吴玉妹"</f>
        <v>吴玉妹</v>
      </c>
      <c r="E2309" s="4" t="str">
        <f t="shared" si="103"/>
        <v>女</v>
      </c>
    </row>
    <row r="2310" spans="1:5" ht="30" customHeight="1">
      <c r="A2310" s="4">
        <v>2308</v>
      </c>
      <c r="B2310" s="4" t="str">
        <f>"39712022060200003983041"</f>
        <v>39712022060200003983041</v>
      </c>
      <c r="C2310" s="4" t="s">
        <v>27</v>
      </c>
      <c r="D2310" s="4" t="str">
        <f>"陈梦"</f>
        <v>陈梦</v>
      </c>
      <c r="E2310" s="4" t="str">
        <f t="shared" si="103"/>
        <v>女</v>
      </c>
    </row>
    <row r="2311" spans="1:5" ht="30" customHeight="1">
      <c r="A2311" s="4">
        <v>2309</v>
      </c>
      <c r="B2311" s="4" t="str">
        <f>"39712022060200112083059"</f>
        <v>39712022060200112083059</v>
      </c>
      <c r="C2311" s="4" t="s">
        <v>27</v>
      </c>
      <c r="D2311" s="4" t="str">
        <f>"陈玉婷"</f>
        <v>陈玉婷</v>
      </c>
      <c r="E2311" s="4" t="str">
        <f t="shared" si="103"/>
        <v>女</v>
      </c>
    </row>
    <row r="2312" spans="1:5" ht="30" customHeight="1">
      <c r="A2312" s="4">
        <v>2310</v>
      </c>
      <c r="B2312" s="4" t="str">
        <f>"39712022060200360583101"</f>
        <v>39712022060200360583101</v>
      </c>
      <c r="C2312" s="4" t="s">
        <v>27</v>
      </c>
      <c r="D2312" s="4" t="str">
        <f>"符家芳"</f>
        <v>符家芳</v>
      </c>
      <c r="E2312" s="4" t="str">
        <f t="shared" si="103"/>
        <v>女</v>
      </c>
    </row>
    <row r="2313" spans="1:5" ht="30" customHeight="1">
      <c r="A2313" s="4">
        <v>2311</v>
      </c>
      <c r="B2313" s="4" t="str">
        <f>"39712022060203184783139"</f>
        <v>39712022060203184783139</v>
      </c>
      <c r="C2313" s="4" t="s">
        <v>27</v>
      </c>
      <c r="D2313" s="4" t="str">
        <f>"唐台玲"</f>
        <v>唐台玲</v>
      </c>
      <c r="E2313" s="4" t="str">
        <f t="shared" si="103"/>
        <v>女</v>
      </c>
    </row>
    <row r="2314" spans="1:5" ht="30" customHeight="1">
      <c r="A2314" s="4">
        <v>2312</v>
      </c>
      <c r="B2314" s="4" t="str">
        <f>"39712022060207251983187"</f>
        <v>39712022060207251983187</v>
      </c>
      <c r="C2314" s="4" t="s">
        <v>27</v>
      </c>
      <c r="D2314" s="4" t="str">
        <f>"翁德玉"</f>
        <v>翁德玉</v>
      </c>
      <c r="E2314" s="4" t="str">
        <f t="shared" si="103"/>
        <v>女</v>
      </c>
    </row>
    <row r="2315" spans="1:5" ht="30" customHeight="1">
      <c r="A2315" s="4">
        <v>2313</v>
      </c>
      <c r="B2315" s="4" t="str">
        <f>"39712022060207301683193"</f>
        <v>39712022060207301683193</v>
      </c>
      <c r="C2315" s="4" t="s">
        <v>27</v>
      </c>
      <c r="D2315" s="4" t="str">
        <f>"陈宇新"</f>
        <v>陈宇新</v>
      </c>
      <c r="E2315" s="4" t="str">
        <f t="shared" si="103"/>
        <v>女</v>
      </c>
    </row>
    <row r="2316" spans="1:5" ht="30" customHeight="1">
      <c r="A2316" s="4">
        <v>2314</v>
      </c>
      <c r="B2316" s="4" t="str">
        <f>"39712022060208162383268"</f>
        <v>39712022060208162383268</v>
      </c>
      <c r="C2316" s="4" t="s">
        <v>27</v>
      </c>
      <c r="D2316" s="4" t="str">
        <f>"占英兰"</f>
        <v>占英兰</v>
      </c>
      <c r="E2316" s="4" t="str">
        <f t="shared" si="103"/>
        <v>女</v>
      </c>
    </row>
    <row r="2317" spans="1:5" ht="30" customHeight="1">
      <c r="A2317" s="4">
        <v>2315</v>
      </c>
      <c r="B2317" s="4" t="str">
        <f>"39712022060208191883280"</f>
        <v>39712022060208191883280</v>
      </c>
      <c r="C2317" s="4" t="s">
        <v>27</v>
      </c>
      <c r="D2317" s="4" t="str">
        <f>"吴珍"</f>
        <v>吴珍</v>
      </c>
      <c r="E2317" s="4" t="str">
        <f t="shared" si="103"/>
        <v>女</v>
      </c>
    </row>
    <row r="2318" spans="1:5" ht="30" customHeight="1">
      <c r="A2318" s="4">
        <v>2316</v>
      </c>
      <c r="B2318" s="4" t="str">
        <f>"39712022060208235983300"</f>
        <v>39712022060208235983300</v>
      </c>
      <c r="C2318" s="4" t="s">
        <v>27</v>
      </c>
      <c r="D2318" s="4" t="str">
        <f>"郑丹妹"</f>
        <v>郑丹妹</v>
      </c>
      <c r="E2318" s="4" t="str">
        <f t="shared" si="103"/>
        <v>女</v>
      </c>
    </row>
    <row r="2319" spans="1:5" ht="30" customHeight="1">
      <c r="A2319" s="4">
        <v>2317</v>
      </c>
      <c r="B2319" s="4" t="str">
        <f>"39712022060208245083305"</f>
        <v>39712022060208245083305</v>
      </c>
      <c r="C2319" s="4" t="s">
        <v>27</v>
      </c>
      <c r="D2319" s="4" t="str">
        <f>"陈丽冰"</f>
        <v>陈丽冰</v>
      </c>
      <c r="E2319" s="4" t="str">
        <f t="shared" si="103"/>
        <v>女</v>
      </c>
    </row>
    <row r="2320" spans="1:5" ht="30" customHeight="1">
      <c r="A2320" s="4">
        <v>2318</v>
      </c>
      <c r="B2320" s="4" t="str">
        <f>"39712022060208363883369"</f>
        <v>39712022060208363883369</v>
      </c>
      <c r="C2320" s="4" t="s">
        <v>27</v>
      </c>
      <c r="D2320" s="4" t="str">
        <f>"王才蝶"</f>
        <v>王才蝶</v>
      </c>
      <c r="E2320" s="4" t="str">
        <f t="shared" si="103"/>
        <v>女</v>
      </c>
    </row>
    <row r="2321" spans="1:5" ht="30" customHeight="1">
      <c r="A2321" s="4">
        <v>2319</v>
      </c>
      <c r="B2321" s="4" t="str">
        <f>"39712022060208372483376"</f>
        <v>39712022060208372483376</v>
      </c>
      <c r="C2321" s="4" t="s">
        <v>27</v>
      </c>
      <c r="D2321" s="4" t="str">
        <f>"朱强"</f>
        <v>朱强</v>
      </c>
      <c r="E2321" s="4" t="str">
        <f>"男"</f>
        <v>男</v>
      </c>
    </row>
    <row r="2322" spans="1:5" ht="30" customHeight="1">
      <c r="A2322" s="4">
        <v>2320</v>
      </c>
      <c r="B2322" s="4" t="str">
        <f>"39712022060208441283412"</f>
        <v>39712022060208441283412</v>
      </c>
      <c r="C2322" s="4" t="s">
        <v>27</v>
      </c>
      <c r="D2322" s="4" t="str">
        <f>"吴雨萱"</f>
        <v>吴雨萱</v>
      </c>
      <c r="E2322" s="4" t="str">
        <f aca="true" t="shared" si="104" ref="E2322:E2380">"女"</f>
        <v>女</v>
      </c>
    </row>
    <row r="2323" spans="1:5" ht="30" customHeight="1">
      <c r="A2323" s="4">
        <v>2321</v>
      </c>
      <c r="B2323" s="4" t="str">
        <f>"39712022060208484483437"</f>
        <v>39712022060208484483437</v>
      </c>
      <c r="C2323" s="4" t="s">
        <v>27</v>
      </c>
      <c r="D2323" s="4" t="str">
        <f>"陈珊晶"</f>
        <v>陈珊晶</v>
      </c>
      <c r="E2323" s="4" t="str">
        <f t="shared" si="104"/>
        <v>女</v>
      </c>
    </row>
    <row r="2324" spans="1:5" ht="30" customHeight="1">
      <c r="A2324" s="4">
        <v>2322</v>
      </c>
      <c r="B2324" s="4" t="str">
        <f>"39712022060208495483448"</f>
        <v>39712022060208495483448</v>
      </c>
      <c r="C2324" s="4" t="s">
        <v>27</v>
      </c>
      <c r="D2324" s="4" t="str">
        <f>"林芳君"</f>
        <v>林芳君</v>
      </c>
      <c r="E2324" s="4" t="str">
        <f t="shared" si="104"/>
        <v>女</v>
      </c>
    </row>
    <row r="2325" spans="1:5" ht="30" customHeight="1">
      <c r="A2325" s="4">
        <v>2323</v>
      </c>
      <c r="B2325" s="4" t="str">
        <f>"39712022060208553983480"</f>
        <v>39712022060208553983480</v>
      </c>
      <c r="C2325" s="4" t="s">
        <v>27</v>
      </c>
      <c r="D2325" s="4" t="str">
        <f>"韦温馨"</f>
        <v>韦温馨</v>
      </c>
      <c r="E2325" s="4" t="str">
        <f t="shared" si="104"/>
        <v>女</v>
      </c>
    </row>
    <row r="2326" spans="1:5" ht="30" customHeight="1">
      <c r="A2326" s="4">
        <v>2324</v>
      </c>
      <c r="B2326" s="4" t="str">
        <f>"39712022060208575783489"</f>
        <v>39712022060208575783489</v>
      </c>
      <c r="C2326" s="4" t="s">
        <v>27</v>
      </c>
      <c r="D2326" s="4" t="str">
        <f>"吴雯雯"</f>
        <v>吴雯雯</v>
      </c>
      <c r="E2326" s="4" t="str">
        <f t="shared" si="104"/>
        <v>女</v>
      </c>
    </row>
    <row r="2327" spans="1:5" ht="30" customHeight="1">
      <c r="A2327" s="4">
        <v>2325</v>
      </c>
      <c r="B2327" s="4" t="str">
        <f>"39712022060209044083535"</f>
        <v>39712022060209044083535</v>
      </c>
      <c r="C2327" s="4" t="s">
        <v>27</v>
      </c>
      <c r="D2327" s="4" t="str">
        <f>"唐心苗"</f>
        <v>唐心苗</v>
      </c>
      <c r="E2327" s="4" t="str">
        <f t="shared" si="104"/>
        <v>女</v>
      </c>
    </row>
    <row r="2328" spans="1:5" ht="30" customHeight="1">
      <c r="A2328" s="4">
        <v>2326</v>
      </c>
      <c r="B2328" s="4" t="str">
        <f>"39712022060209064983560"</f>
        <v>39712022060209064983560</v>
      </c>
      <c r="C2328" s="4" t="s">
        <v>27</v>
      </c>
      <c r="D2328" s="4" t="str">
        <f>"冯文彬"</f>
        <v>冯文彬</v>
      </c>
      <c r="E2328" s="4" t="str">
        <f t="shared" si="104"/>
        <v>女</v>
      </c>
    </row>
    <row r="2329" spans="1:5" ht="30" customHeight="1">
      <c r="A2329" s="4">
        <v>2327</v>
      </c>
      <c r="B2329" s="4" t="str">
        <f>"39712022060209092383579"</f>
        <v>39712022060209092383579</v>
      </c>
      <c r="C2329" s="4" t="s">
        <v>27</v>
      </c>
      <c r="D2329" s="4" t="str">
        <f>"陈少英"</f>
        <v>陈少英</v>
      </c>
      <c r="E2329" s="4" t="str">
        <f t="shared" si="104"/>
        <v>女</v>
      </c>
    </row>
    <row r="2330" spans="1:5" ht="30" customHeight="1">
      <c r="A2330" s="4">
        <v>2328</v>
      </c>
      <c r="B2330" s="4" t="str">
        <f>"39712022060209131083605"</f>
        <v>39712022060209131083605</v>
      </c>
      <c r="C2330" s="4" t="s">
        <v>27</v>
      </c>
      <c r="D2330" s="4" t="str">
        <f>"刘美"</f>
        <v>刘美</v>
      </c>
      <c r="E2330" s="4" t="str">
        <f t="shared" si="104"/>
        <v>女</v>
      </c>
    </row>
    <row r="2331" spans="1:5" ht="30" customHeight="1">
      <c r="A2331" s="4">
        <v>2329</v>
      </c>
      <c r="B2331" s="4" t="str">
        <f>"39712022060209164783628"</f>
        <v>39712022060209164783628</v>
      </c>
      <c r="C2331" s="4" t="s">
        <v>27</v>
      </c>
      <c r="D2331" s="4" t="str">
        <f>"陈宝南"</f>
        <v>陈宝南</v>
      </c>
      <c r="E2331" s="4" t="str">
        <f t="shared" si="104"/>
        <v>女</v>
      </c>
    </row>
    <row r="2332" spans="1:5" ht="30" customHeight="1">
      <c r="A2332" s="4">
        <v>2330</v>
      </c>
      <c r="B2332" s="4" t="str">
        <f>"39712022060209183983644"</f>
        <v>39712022060209183983644</v>
      </c>
      <c r="C2332" s="4" t="s">
        <v>27</v>
      </c>
      <c r="D2332" s="4" t="str">
        <f>"吴慧敏 "</f>
        <v>吴慧敏 </v>
      </c>
      <c r="E2332" s="4" t="str">
        <f t="shared" si="104"/>
        <v>女</v>
      </c>
    </row>
    <row r="2333" spans="1:5" ht="30" customHeight="1">
      <c r="A2333" s="4">
        <v>2331</v>
      </c>
      <c r="B2333" s="4" t="str">
        <f>"39712022060209204183660"</f>
        <v>39712022060209204183660</v>
      </c>
      <c r="C2333" s="4" t="s">
        <v>27</v>
      </c>
      <c r="D2333" s="4" t="str">
        <f>"罗春凉"</f>
        <v>罗春凉</v>
      </c>
      <c r="E2333" s="4" t="str">
        <f t="shared" si="104"/>
        <v>女</v>
      </c>
    </row>
    <row r="2334" spans="1:5" ht="30" customHeight="1">
      <c r="A2334" s="4">
        <v>2332</v>
      </c>
      <c r="B2334" s="4" t="str">
        <f>"39712022060209260683696"</f>
        <v>39712022060209260683696</v>
      </c>
      <c r="C2334" s="4" t="s">
        <v>27</v>
      </c>
      <c r="D2334" s="4" t="str">
        <f>"钟舒怡"</f>
        <v>钟舒怡</v>
      </c>
      <c r="E2334" s="4" t="str">
        <f t="shared" si="104"/>
        <v>女</v>
      </c>
    </row>
    <row r="2335" spans="1:5" ht="30" customHeight="1">
      <c r="A2335" s="4">
        <v>2333</v>
      </c>
      <c r="B2335" s="4" t="str">
        <f>"39712022060209291383717"</f>
        <v>39712022060209291383717</v>
      </c>
      <c r="C2335" s="4" t="s">
        <v>27</v>
      </c>
      <c r="D2335" s="4" t="str">
        <f>"余萌"</f>
        <v>余萌</v>
      </c>
      <c r="E2335" s="4" t="str">
        <f t="shared" si="104"/>
        <v>女</v>
      </c>
    </row>
    <row r="2336" spans="1:5" ht="30" customHeight="1">
      <c r="A2336" s="4">
        <v>2334</v>
      </c>
      <c r="B2336" s="4" t="str">
        <f>"39712022060209295883723"</f>
        <v>39712022060209295883723</v>
      </c>
      <c r="C2336" s="4" t="s">
        <v>27</v>
      </c>
      <c r="D2336" s="4" t="str">
        <f>"郑花"</f>
        <v>郑花</v>
      </c>
      <c r="E2336" s="4" t="str">
        <f t="shared" si="104"/>
        <v>女</v>
      </c>
    </row>
    <row r="2337" spans="1:5" ht="30" customHeight="1">
      <c r="A2337" s="4">
        <v>2335</v>
      </c>
      <c r="B2337" s="4" t="str">
        <f>"39712022060209311583731"</f>
        <v>39712022060209311583731</v>
      </c>
      <c r="C2337" s="4" t="s">
        <v>27</v>
      </c>
      <c r="D2337" s="4" t="str">
        <f>"林晶晶"</f>
        <v>林晶晶</v>
      </c>
      <c r="E2337" s="4" t="str">
        <f t="shared" si="104"/>
        <v>女</v>
      </c>
    </row>
    <row r="2338" spans="1:5" ht="30" customHeight="1">
      <c r="A2338" s="4">
        <v>2336</v>
      </c>
      <c r="B2338" s="4" t="str">
        <f>"39712022060209350783762"</f>
        <v>39712022060209350783762</v>
      </c>
      <c r="C2338" s="4" t="s">
        <v>27</v>
      </c>
      <c r="D2338" s="4" t="str">
        <f>"陈雅姿"</f>
        <v>陈雅姿</v>
      </c>
      <c r="E2338" s="4" t="str">
        <f t="shared" si="104"/>
        <v>女</v>
      </c>
    </row>
    <row r="2339" spans="1:5" ht="30" customHeight="1">
      <c r="A2339" s="4">
        <v>2337</v>
      </c>
      <c r="B2339" s="4" t="str">
        <f>"39712022060209400683797"</f>
        <v>39712022060209400683797</v>
      </c>
      <c r="C2339" s="4" t="s">
        <v>27</v>
      </c>
      <c r="D2339" s="4" t="str">
        <f>"陈靖伦"</f>
        <v>陈靖伦</v>
      </c>
      <c r="E2339" s="4" t="str">
        <f t="shared" si="104"/>
        <v>女</v>
      </c>
    </row>
    <row r="2340" spans="1:5" ht="30" customHeight="1">
      <c r="A2340" s="4">
        <v>2338</v>
      </c>
      <c r="B2340" s="4" t="str">
        <f>"39712022060209404983806"</f>
        <v>39712022060209404983806</v>
      </c>
      <c r="C2340" s="4" t="s">
        <v>27</v>
      </c>
      <c r="D2340" s="4" t="str">
        <f>"马卓言"</f>
        <v>马卓言</v>
      </c>
      <c r="E2340" s="4" t="str">
        <f t="shared" si="104"/>
        <v>女</v>
      </c>
    </row>
    <row r="2341" spans="1:5" ht="30" customHeight="1">
      <c r="A2341" s="4">
        <v>2339</v>
      </c>
      <c r="B2341" s="4" t="str">
        <f>"39712022060210004083946"</f>
        <v>39712022060210004083946</v>
      </c>
      <c r="C2341" s="4" t="s">
        <v>27</v>
      </c>
      <c r="D2341" s="4" t="str">
        <f>"苏秀玲"</f>
        <v>苏秀玲</v>
      </c>
      <c r="E2341" s="4" t="str">
        <f t="shared" si="104"/>
        <v>女</v>
      </c>
    </row>
    <row r="2342" spans="1:5" ht="30" customHeight="1">
      <c r="A2342" s="4">
        <v>2340</v>
      </c>
      <c r="B2342" s="4" t="str">
        <f>"39712022060210060883992"</f>
        <v>39712022060210060883992</v>
      </c>
      <c r="C2342" s="4" t="s">
        <v>27</v>
      </c>
      <c r="D2342" s="4" t="str">
        <f>"韦小恋"</f>
        <v>韦小恋</v>
      </c>
      <c r="E2342" s="4" t="str">
        <f t="shared" si="104"/>
        <v>女</v>
      </c>
    </row>
    <row r="2343" spans="1:5" ht="30" customHeight="1">
      <c r="A2343" s="4">
        <v>2341</v>
      </c>
      <c r="B2343" s="4" t="str">
        <f>"39712022060210065383995"</f>
        <v>39712022060210065383995</v>
      </c>
      <c r="C2343" s="4" t="s">
        <v>27</v>
      </c>
      <c r="D2343" s="4" t="str">
        <f>"冯燕"</f>
        <v>冯燕</v>
      </c>
      <c r="E2343" s="4" t="str">
        <f t="shared" si="104"/>
        <v>女</v>
      </c>
    </row>
    <row r="2344" spans="1:5" ht="30" customHeight="1">
      <c r="A2344" s="4">
        <v>2342</v>
      </c>
      <c r="B2344" s="4" t="str">
        <f>"39712022060210113984028"</f>
        <v>39712022060210113984028</v>
      </c>
      <c r="C2344" s="4" t="s">
        <v>27</v>
      </c>
      <c r="D2344" s="4" t="str">
        <f>"陈元冰"</f>
        <v>陈元冰</v>
      </c>
      <c r="E2344" s="4" t="str">
        <f t="shared" si="104"/>
        <v>女</v>
      </c>
    </row>
    <row r="2345" spans="1:5" ht="30" customHeight="1">
      <c r="A2345" s="4">
        <v>2343</v>
      </c>
      <c r="B2345" s="4" t="str">
        <f>"39712022060210174984073"</f>
        <v>39712022060210174984073</v>
      </c>
      <c r="C2345" s="4" t="s">
        <v>27</v>
      </c>
      <c r="D2345" s="4" t="str">
        <f>"洪舒"</f>
        <v>洪舒</v>
      </c>
      <c r="E2345" s="4" t="str">
        <f t="shared" si="104"/>
        <v>女</v>
      </c>
    </row>
    <row r="2346" spans="1:5" ht="30" customHeight="1">
      <c r="A2346" s="4">
        <v>2344</v>
      </c>
      <c r="B2346" s="4" t="str">
        <f>"39712022060210195384090"</f>
        <v>39712022060210195384090</v>
      </c>
      <c r="C2346" s="4" t="s">
        <v>27</v>
      </c>
      <c r="D2346" s="4" t="str">
        <f>"陈美惠紫"</f>
        <v>陈美惠紫</v>
      </c>
      <c r="E2346" s="4" t="str">
        <f t="shared" si="104"/>
        <v>女</v>
      </c>
    </row>
    <row r="2347" spans="1:5" ht="30" customHeight="1">
      <c r="A2347" s="4">
        <v>2345</v>
      </c>
      <c r="B2347" s="4" t="str">
        <f>"39712022060210202184097"</f>
        <v>39712022060210202184097</v>
      </c>
      <c r="C2347" s="4" t="s">
        <v>27</v>
      </c>
      <c r="D2347" s="4" t="str">
        <f>"郭义惠"</f>
        <v>郭义惠</v>
      </c>
      <c r="E2347" s="4" t="str">
        <f t="shared" si="104"/>
        <v>女</v>
      </c>
    </row>
    <row r="2348" spans="1:5" ht="30" customHeight="1">
      <c r="A2348" s="4">
        <v>2346</v>
      </c>
      <c r="B2348" s="4" t="str">
        <f>"39712022060210285084169"</f>
        <v>39712022060210285084169</v>
      </c>
      <c r="C2348" s="4" t="s">
        <v>27</v>
      </c>
      <c r="D2348" s="4" t="str">
        <f>"冯锦鸯"</f>
        <v>冯锦鸯</v>
      </c>
      <c r="E2348" s="4" t="str">
        <f t="shared" si="104"/>
        <v>女</v>
      </c>
    </row>
    <row r="2349" spans="1:5" ht="30" customHeight="1">
      <c r="A2349" s="4">
        <v>2347</v>
      </c>
      <c r="B2349" s="4" t="str">
        <f>"39712022060210285484171"</f>
        <v>39712022060210285484171</v>
      </c>
      <c r="C2349" s="4" t="s">
        <v>27</v>
      </c>
      <c r="D2349" s="4" t="str">
        <f>"黄向"</f>
        <v>黄向</v>
      </c>
      <c r="E2349" s="4" t="str">
        <f t="shared" si="104"/>
        <v>女</v>
      </c>
    </row>
    <row r="2350" spans="1:5" ht="30" customHeight="1">
      <c r="A2350" s="4">
        <v>2348</v>
      </c>
      <c r="B2350" s="4" t="str">
        <f>"39712022060210325984206"</f>
        <v>39712022060210325984206</v>
      </c>
      <c r="C2350" s="4" t="s">
        <v>27</v>
      </c>
      <c r="D2350" s="4" t="str">
        <f>"张佳佳"</f>
        <v>张佳佳</v>
      </c>
      <c r="E2350" s="4" t="str">
        <f t="shared" si="104"/>
        <v>女</v>
      </c>
    </row>
    <row r="2351" spans="1:5" ht="30" customHeight="1">
      <c r="A2351" s="4">
        <v>2349</v>
      </c>
      <c r="B2351" s="4" t="str">
        <f>"39712022060210342584218"</f>
        <v>39712022060210342584218</v>
      </c>
      <c r="C2351" s="4" t="s">
        <v>27</v>
      </c>
      <c r="D2351" s="4" t="str">
        <f>"孟夏水"</f>
        <v>孟夏水</v>
      </c>
      <c r="E2351" s="4" t="str">
        <f t="shared" si="104"/>
        <v>女</v>
      </c>
    </row>
    <row r="2352" spans="1:5" ht="30" customHeight="1">
      <c r="A2352" s="4">
        <v>2350</v>
      </c>
      <c r="B2352" s="4" t="str">
        <f>"39712022060210370984233"</f>
        <v>39712022060210370984233</v>
      </c>
      <c r="C2352" s="4" t="s">
        <v>27</v>
      </c>
      <c r="D2352" s="4" t="str">
        <f>"陈珊珊"</f>
        <v>陈珊珊</v>
      </c>
      <c r="E2352" s="4" t="str">
        <f t="shared" si="104"/>
        <v>女</v>
      </c>
    </row>
    <row r="2353" spans="1:5" ht="30" customHeight="1">
      <c r="A2353" s="4">
        <v>2351</v>
      </c>
      <c r="B2353" s="4" t="str">
        <f>"39712022060210374884236"</f>
        <v>39712022060210374884236</v>
      </c>
      <c r="C2353" s="4" t="s">
        <v>27</v>
      </c>
      <c r="D2353" s="4" t="str">
        <f>"丁海波"</f>
        <v>丁海波</v>
      </c>
      <c r="E2353" s="4" t="str">
        <f t="shared" si="104"/>
        <v>女</v>
      </c>
    </row>
    <row r="2354" spans="1:5" ht="30" customHeight="1">
      <c r="A2354" s="4">
        <v>2352</v>
      </c>
      <c r="B2354" s="4" t="str">
        <f>"39712022060210423084268"</f>
        <v>39712022060210423084268</v>
      </c>
      <c r="C2354" s="4" t="s">
        <v>27</v>
      </c>
      <c r="D2354" s="4" t="str">
        <f>"张惠婷"</f>
        <v>张惠婷</v>
      </c>
      <c r="E2354" s="4" t="str">
        <f t="shared" si="104"/>
        <v>女</v>
      </c>
    </row>
    <row r="2355" spans="1:5" ht="30" customHeight="1">
      <c r="A2355" s="4">
        <v>2353</v>
      </c>
      <c r="B2355" s="4" t="str">
        <f>"39712022060210455484292"</f>
        <v>39712022060210455484292</v>
      </c>
      <c r="C2355" s="4" t="s">
        <v>27</v>
      </c>
      <c r="D2355" s="4" t="str">
        <f>"陈晓娜"</f>
        <v>陈晓娜</v>
      </c>
      <c r="E2355" s="4" t="str">
        <f t="shared" si="104"/>
        <v>女</v>
      </c>
    </row>
    <row r="2356" spans="1:5" ht="30" customHeight="1">
      <c r="A2356" s="4">
        <v>2354</v>
      </c>
      <c r="B2356" s="4" t="str">
        <f>"39712022060210460184295"</f>
        <v>39712022060210460184295</v>
      </c>
      <c r="C2356" s="4" t="s">
        <v>27</v>
      </c>
      <c r="D2356" s="4" t="str">
        <f>"王文南"</f>
        <v>王文南</v>
      </c>
      <c r="E2356" s="4" t="str">
        <f t="shared" si="104"/>
        <v>女</v>
      </c>
    </row>
    <row r="2357" spans="1:5" ht="30" customHeight="1">
      <c r="A2357" s="4">
        <v>2355</v>
      </c>
      <c r="B2357" s="4" t="str">
        <f>"39712022060210514084341"</f>
        <v>39712022060210514084341</v>
      </c>
      <c r="C2357" s="4" t="s">
        <v>27</v>
      </c>
      <c r="D2357" s="4" t="str">
        <f>"蔡玉婵"</f>
        <v>蔡玉婵</v>
      </c>
      <c r="E2357" s="4" t="str">
        <f t="shared" si="104"/>
        <v>女</v>
      </c>
    </row>
    <row r="2358" spans="1:5" ht="30" customHeight="1">
      <c r="A2358" s="4">
        <v>2356</v>
      </c>
      <c r="B2358" s="4" t="str">
        <f>"39712022060210515584343"</f>
        <v>39712022060210515584343</v>
      </c>
      <c r="C2358" s="4" t="s">
        <v>27</v>
      </c>
      <c r="D2358" s="4" t="str">
        <f>"潘虹"</f>
        <v>潘虹</v>
      </c>
      <c r="E2358" s="4" t="str">
        <f t="shared" si="104"/>
        <v>女</v>
      </c>
    </row>
    <row r="2359" spans="1:5" ht="30" customHeight="1">
      <c r="A2359" s="4">
        <v>2357</v>
      </c>
      <c r="B2359" s="4" t="str">
        <f>"39712022060210531884353"</f>
        <v>39712022060210531884353</v>
      </c>
      <c r="C2359" s="4" t="s">
        <v>27</v>
      </c>
      <c r="D2359" s="4" t="str">
        <f>"邢明月"</f>
        <v>邢明月</v>
      </c>
      <c r="E2359" s="4" t="str">
        <f t="shared" si="104"/>
        <v>女</v>
      </c>
    </row>
    <row r="2360" spans="1:5" ht="30" customHeight="1">
      <c r="A2360" s="4">
        <v>2358</v>
      </c>
      <c r="B2360" s="4" t="str">
        <f>"39712022060210534584355"</f>
        <v>39712022060210534584355</v>
      </c>
      <c r="C2360" s="4" t="s">
        <v>27</v>
      </c>
      <c r="D2360" s="4" t="str">
        <f>"符梦菲"</f>
        <v>符梦菲</v>
      </c>
      <c r="E2360" s="4" t="str">
        <f t="shared" si="104"/>
        <v>女</v>
      </c>
    </row>
    <row r="2361" spans="1:5" ht="30" customHeight="1">
      <c r="A2361" s="4">
        <v>2359</v>
      </c>
      <c r="B2361" s="4" t="str">
        <f>"39712022060210564884380"</f>
        <v>39712022060210564884380</v>
      </c>
      <c r="C2361" s="4" t="s">
        <v>27</v>
      </c>
      <c r="D2361" s="4" t="str">
        <f>"陈睿金"</f>
        <v>陈睿金</v>
      </c>
      <c r="E2361" s="4" t="str">
        <f t="shared" si="104"/>
        <v>女</v>
      </c>
    </row>
    <row r="2362" spans="1:5" ht="30" customHeight="1">
      <c r="A2362" s="4">
        <v>2360</v>
      </c>
      <c r="B2362" s="4" t="str">
        <f>"39712022060210591284396"</f>
        <v>39712022060210591284396</v>
      </c>
      <c r="C2362" s="4" t="s">
        <v>27</v>
      </c>
      <c r="D2362" s="4" t="str">
        <f>"彭兰喜"</f>
        <v>彭兰喜</v>
      </c>
      <c r="E2362" s="4" t="str">
        <f t="shared" si="104"/>
        <v>女</v>
      </c>
    </row>
    <row r="2363" spans="1:5" ht="30" customHeight="1">
      <c r="A2363" s="4">
        <v>2361</v>
      </c>
      <c r="B2363" s="4" t="str">
        <f>"39712022060211053384441"</f>
        <v>39712022060211053384441</v>
      </c>
      <c r="C2363" s="4" t="s">
        <v>27</v>
      </c>
      <c r="D2363" s="4" t="str">
        <f>"文坤婧"</f>
        <v>文坤婧</v>
      </c>
      <c r="E2363" s="4" t="str">
        <f t="shared" si="104"/>
        <v>女</v>
      </c>
    </row>
    <row r="2364" spans="1:5" ht="30" customHeight="1">
      <c r="A2364" s="4">
        <v>2362</v>
      </c>
      <c r="B2364" s="4" t="str">
        <f>"39712022060211072684452"</f>
        <v>39712022060211072684452</v>
      </c>
      <c r="C2364" s="4" t="s">
        <v>27</v>
      </c>
      <c r="D2364" s="4" t="str">
        <f>"许美诗"</f>
        <v>许美诗</v>
      </c>
      <c r="E2364" s="4" t="str">
        <f t="shared" si="104"/>
        <v>女</v>
      </c>
    </row>
    <row r="2365" spans="1:5" ht="30" customHeight="1">
      <c r="A2365" s="4">
        <v>2363</v>
      </c>
      <c r="B2365" s="4" t="str">
        <f>"39712022060211154884517"</f>
        <v>39712022060211154884517</v>
      </c>
      <c r="C2365" s="4" t="s">
        <v>27</v>
      </c>
      <c r="D2365" s="4" t="str">
        <f>"陈国霜"</f>
        <v>陈国霜</v>
      </c>
      <c r="E2365" s="4" t="str">
        <f t="shared" si="104"/>
        <v>女</v>
      </c>
    </row>
    <row r="2366" spans="1:5" ht="30" customHeight="1">
      <c r="A2366" s="4">
        <v>2364</v>
      </c>
      <c r="B2366" s="4" t="str">
        <f>"39712022060211193584546"</f>
        <v>39712022060211193584546</v>
      </c>
      <c r="C2366" s="4" t="s">
        <v>27</v>
      </c>
      <c r="D2366" s="4" t="str">
        <f>"陈婷婷"</f>
        <v>陈婷婷</v>
      </c>
      <c r="E2366" s="4" t="str">
        <f t="shared" si="104"/>
        <v>女</v>
      </c>
    </row>
    <row r="2367" spans="1:5" ht="30" customHeight="1">
      <c r="A2367" s="4">
        <v>2365</v>
      </c>
      <c r="B2367" s="4" t="str">
        <f>"39712022060211194884550"</f>
        <v>39712022060211194884550</v>
      </c>
      <c r="C2367" s="4" t="s">
        <v>27</v>
      </c>
      <c r="D2367" s="4" t="str">
        <f>"张露之"</f>
        <v>张露之</v>
      </c>
      <c r="E2367" s="4" t="str">
        <f t="shared" si="104"/>
        <v>女</v>
      </c>
    </row>
    <row r="2368" spans="1:5" ht="30" customHeight="1">
      <c r="A2368" s="4">
        <v>2366</v>
      </c>
      <c r="B2368" s="4" t="str">
        <f>"39712022060211362884641"</f>
        <v>39712022060211362884641</v>
      </c>
      <c r="C2368" s="4" t="s">
        <v>27</v>
      </c>
      <c r="D2368" s="4" t="str">
        <f>"钟红灵"</f>
        <v>钟红灵</v>
      </c>
      <c r="E2368" s="4" t="str">
        <f t="shared" si="104"/>
        <v>女</v>
      </c>
    </row>
    <row r="2369" spans="1:5" ht="30" customHeight="1">
      <c r="A2369" s="4">
        <v>2367</v>
      </c>
      <c r="B2369" s="4" t="str">
        <f>"39712022060211402384669"</f>
        <v>39712022060211402384669</v>
      </c>
      <c r="C2369" s="4" t="s">
        <v>27</v>
      </c>
      <c r="D2369" s="4" t="str">
        <f>"王雅"</f>
        <v>王雅</v>
      </c>
      <c r="E2369" s="4" t="str">
        <f t="shared" si="104"/>
        <v>女</v>
      </c>
    </row>
    <row r="2370" spans="1:5" ht="30" customHeight="1">
      <c r="A2370" s="4">
        <v>2368</v>
      </c>
      <c r="B2370" s="4" t="str">
        <f>"39712022060211404484673"</f>
        <v>39712022060211404484673</v>
      </c>
      <c r="C2370" s="4" t="s">
        <v>27</v>
      </c>
      <c r="D2370" s="4" t="str">
        <f>"吴嘉敏"</f>
        <v>吴嘉敏</v>
      </c>
      <c r="E2370" s="4" t="str">
        <f t="shared" si="104"/>
        <v>女</v>
      </c>
    </row>
    <row r="2371" spans="1:5" ht="30" customHeight="1">
      <c r="A2371" s="4">
        <v>2369</v>
      </c>
      <c r="B2371" s="4" t="str">
        <f>"39712022060211432384689"</f>
        <v>39712022060211432384689</v>
      </c>
      <c r="C2371" s="4" t="s">
        <v>27</v>
      </c>
      <c r="D2371" s="4" t="str">
        <f>"王春琴"</f>
        <v>王春琴</v>
      </c>
      <c r="E2371" s="4" t="str">
        <f t="shared" si="104"/>
        <v>女</v>
      </c>
    </row>
    <row r="2372" spans="1:5" ht="30" customHeight="1">
      <c r="A2372" s="4">
        <v>2370</v>
      </c>
      <c r="B2372" s="4" t="str">
        <f>"39712022060211584284754"</f>
        <v>39712022060211584284754</v>
      </c>
      <c r="C2372" s="4" t="s">
        <v>27</v>
      </c>
      <c r="D2372" s="4" t="str">
        <f>"陈秀萍"</f>
        <v>陈秀萍</v>
      </c>
      <c r="E2372" s="4" t="str">
        <f t="shared" si="104"/>
        <v>女</v>
      </c>
    </row>
    <row r="2373" spans="1:5" ht="30" customHeight="1">
      <c r="A2373" s="4">
        <v>2371</v>
      </c>
      <c r="B2373" s="4" t="str">
        <f>"39712022060212004184766"</f>
        <v>39712022060212004184766</v>
      </c>
      <c r="C2373" s="4" t="s">
        <v>27</v>
      </c>
      <c r="D2373" s="4" t="str">
        <f>"罗晶莹"</f>
        <v>罗晶莹</v>
      </c>
      <c r="E2373" s="4" t="str">
        <f t="shared" si="104"/>
        <v>女</v>
      </c>
    </row>
    <row r="2374" spans="1:5" ht="30" customHeight="1">
      <c r="A2374" s="4">
        <v>2372</v>
      </c>
      <c r="B2374" s="4" t="str">
        <f>"39712022060212044784784"</f>
        <v>39712022060212044784784</v>
      </c>
      <c r="C2374" s="4" t="s">
        <v>27</v>
      </c>
      <c r="D2374" s="4" t="str">
        <f>"符芳虹"</f>
        <v>符芳虹</v>
      </c>
      <c r="E2374" s="4" t="str">
        <f t="shared" si="104"/>
        <v>女</v>
      </c>
    </row>
    <row r="2375" spans="1:5" ht="30" customHeight="1">
      <c r="A2375" s="4">
        <v>2373</v>
      </c>
      <c r="B2375" s="4" t="str">
        <f>"39712022060212045084785"</f>
        <v>39712022060212045084785</v>
      </c>
      <c r="C2375" s="4" t="s">
        <v>27</v>
      </c>
      <c r="D2375" s="4" t="str">
        <f>"梁英南"</f>
        <v>梁英南</v>
      </c>
      <c r="E2375" s="4" t="str">
        <f t="shared" si="104"/>
        <v>女</v>
      </c>
    </row>
    <row r="2376" spans="1:5" ht="30" customHeight="1">
      <c r="A2376" s="4">
        <v>2374</v>
      </c>
      <c r="B2376" s="4" t="str">
        <f>"39712022060212064284798"</f>
        <v>39712022060212064284798</v>
      </c>
      <c r="C2376" s="4" t="s">
        <v>27</v>
      </c>
      <c r="D2376" s="4" t="str">
        <f>"罗天凤"</f>
        <v>罗天凤</v>
      </c>
      <c r="E2376" s="4" t="str">
        <f t="shared" si="104"/>
        <v>女</v>
      </c>
    </row>
    <row r="2377" spans="1:5" ht="30" customHeight="1">
      <c r="A2377" s="4">
        <v>2375</v>
      </c>
      <c r="B2377" s="4" t="str">
        <f>"39712022060212085984814"</f>
        <v>39712022060212085984814</v>
      </c>
      <c r="C2377" s="4" t="s">
        <v>27</v>
      </c>
      <c r="D2377" s="4" t="str">
        <f>"苏天玉"</f>
        <v>苏天玉</v>
      </c>
      <c r="E2377" s="4" t="str">
        <f t="shared" si="104"/>
        <v>女</v>
      </c>
    </row>
    <row r="2378" spans="1:5" ht="30" customHeight="1">
      <c r="A2378" s="4">
        <v>2376</v>
      </c>
      <c r="B2378" s="4" t="str">
        <f>"39712022060212093484818"</f>
        <v>39712022060212093484818</v>
      </c>
      <c r="C2378" s="4" t="s">
        <v>27</v>
      </c>
      <c r="D2378" s="4" t="str">
        <f>"郑福丹"</f>
        <v>郑福丹</v>
      </c>
      <c r="E2378" s="4" t="str">
        <f t="shared" si="104"/>
        <v>女</v>
      </c>
    </row>
    <row r="2379" spans="1:5" ht="30" customHeight="1">
      <c r="A2379" s="4">
        <v>2377</v>
      </c>
      <c r="B2379" s="4" t="str">
        <f>"39712022060212163784860"</f>
        <v>39712022060212163784860</v>
      </c>
      <c r="C2379" s="4" t="s">
        <v>27</v>
      </c>
      <c r="D2379" s="4" t="str">
        <f>"欧阳康沂"</f>
        <v>欧阳康沂</v>
      </c>
      <c r="E2379" s="4" t="str">
        <f t="shared" si="104"/>
        <v>女</v>
      </c>
    </row>
    <row r="2380" spans="1:5" ht="30" customHeight="1">
      <c r="A2380" s="4">
        <v>2378</v>
      </c>
      <c r="B2380" s="4" t="str">
        <f>"39712022060212213984891"</f>
        <v>39712022060212213984891</v>
      </c>
      <c r="C2380" s="4" t="s">
        <v>27</v>
      </c>
      <c r="D2380" s="4" t="str">
        <f>"龙凤"</f>
        <v>龙凤</v>
      </c>
      <c r="E2380" s="4" t="str">
        <f t="shared" si="104"/>
        <v>女</v>
      </c>
    </row>
    <row r="2381" spans="1:5" ht="30" customHeight="1">
      <c r="A2381" s="4">
        <v>2379</v>
      </c>
      <c r="B2381" s="4" t="str">
        <f>"39712022060212252084910"</f>
        <v>39712022060212252084910</v>
      </c>
      <c r="C2381" s="4" t="s">
        <v>27</v>
      </c>
      <c r="D2381" s="4" t="str">
        <f>"郭真文"</f>
        <v>郭真文</v>
      </c>
      <c r="E2381" s="4" t="str">
        <f>"男"</f>
        <v>男</v>
      </c>
    </row>
    <row r="2382" spans="1:5" ht="30" customHeight="1">
      <c r="A2382" s="4">
        <v>2380</v>
      </c>
      <c r="B2382" s="4" t="str">
        <f>"39712022060212295284932"</f>
        <v>39712022060212295284932</v>
      </c>
      <c r="C2382" s="4" t="s">
        <v>27</v>
      </c>
      <c r="D2382" s="4" t="str">
        <f>"吴彩虹"</f>
        <v>吴彩虹</v>
      </c>
      <c r="E2382" s="4" t="str">
        <f aca="true" t="shared" si="105" ref="E2382:E2445">"女"</f>
        <v>女</v>
      </c>
    </row>
    <row r="2383" spans="1:5" ht="30" customHeight="1">
      <c r="A2383" s="4">
        <v>2381</v>
      </c>
      <c r="B2383" s="4" t="str">
        <f>"39712022060212305784942"</f>
        <v>39712022060212305784942</v>
      </c>
      <c r="C2383" s="4" t="s">
        <v>27</v>
      </c>
      <c r="D2383" s="4" t="str">
        <f>"陈诗瑜"</f>
        <v>陈诗瑜</v>
      </c>
      <c r="E2383" s="4" t="str">
        <f t="shared" si="105"/>
        <v>女</v>
      </c>
    </row>
    <row r="2384" spans="1:5" ht="30" customHeight="1">
      <c r="A2384" s="4">
        <v>2382</v>
      </c>
      <c r="B2384" s="4" t="str">
        <f>"39712022060212334684959"</f>
        <v>39712022060212334684959</v>
      </c>
      <c r="C2384" s="4" t="s">
        <v>27</v>
      </c>
      <c r="D2384" s="4" t="str">
        <f>"黄小滨"</f>
        <v>黄小滨</v>
      </c>
      <c r="E2384" s="4" t="str">
        <f t="shared" si="105"/>
        <v>女</v>
      </c>
    </row>
    <row r="2385" spans="1:5" ht="30" customHeight="1">
      <c r="A2385" s="4">
        <v>2383</v>
      </c>
      <c r="B2385" s="4" t="str">
        <f>"39712022060212362984975"</f>
        <v>39712022060212362984975</v>
      </c>
      <c r="C2385" s="4" t="s">
        <v>27</v>
      </c>
      <c r="D2385" s="4" t="str">
        <f>"林书绰"</f>
        <v>林书绰</v>
      </c>
      <c r="E2385" s="4" t="str">
        <f t="shared" si="105"/>
        <v>女</v>
      </c>
    </row>
    <row r="2386" spans="1:5" ht="30" customHeight="1">
      <c r="A2386" s="4">
        <v>2384</v>
      </c>
      <c r="B2386" s="4" t="str">
        <f>"39712022060212363184976"</f>
        <v>39712022060212363184976</v>
      </c>
      <c r="C2386" s="4" t="s">
        <v>27</v>
      </c>
      <c r="D2386" s="4" t="str">
        <f>"黄潮霞"</f>
        <v>黄潮霞</v>
      </c>
      <c r="E2386" s="4" t="str">
        <f t="shared" si="105"/>
        <v>女</v>
      </c>
    </row>
    <row r="2387" spans="1:5" ht="30" customHeight="1">
      <c r="A2387" s="4">
        <v>2385</v>
      </c>
      <c r="B2387" s="4" t="str">
        <f>"39712022060212380784987"</f>
        <v>39712022060212380784987</v>
      </c>
      <c r="C2387" s="4" t="s">
        <v>27</v>
      </c>
      <c r="D2387" s="4" t="str">
        <f>"高奇"</f>
        <v>高奇</v>
      </c>
      <c r="E2387" s="4" t="str">
        <f t="shared" si="105"/>
        <v>女</v>
      </c>
    </row>
    <row r="2388" spans="1:5" ht="30" customHeight="1">
      <c r="A2388" s="4">
        <v>2386</v>
      </c>
      <c r="B2388" s="4" t="str">
        <f>"39712022060212485085051"</f>
        <v>39712022060212485085051</v>
      </c>
      <c r="C2388" s="4" t="s">
        <v>27</v>
      </c>
      <c r="D2388" s="4" t="str">
        <f>"马晓蕾"</f>
        <v>马晓蕾</v>
      </c>
      <c r="E2388" s="4" t="str">
        <f t="shared" si="105"/>
        <v>女</v>
      </c>
    </row>
    <row r="2389" spans="1:5" ht="30" customHeight="1">
      <c r="A2389" s="4">
        <v>2387</v>
      </c>
      <c r="B2389" s="4" t="str">
        <f>"39712022060212545285091"</f>
        <v>39712022060212545285091</v>
      </c>
      <c r="C2389" s="4" t="s">
        <v>27</v>
      </c>
      <c r="D2389" s="4" t="str">
        <f>"梁榆"</f>
        <v>梁榆</v>
      </c>
      <c r="E2389" s="4" t="str">
        <f t="shared" si="105"/>
        <v>女</v>
      </c>
    </row>
    <row r="2390" spans="1:5" ht="30" customHeight="1">
      <c r="A2390" s="4">
        <v>2388</v>
      </c>
      <c r="B2390" s="4" t="str">
        <f>"39712022060213023285126"</f>
        <v>39712022060213023285126</v>
      </c>
      <c r="C2390" s="4" t="s">
        <v>27</v>
      </c>
      <c r="D2390" s="4" t="str">
        <f>"李小芳"</f>
        <v>李小芳</v>
      </c>
      <c r="E2390" s="4" t="str">
        <f t="shared" si="105"/>
        <v>女</v>
      </c>
    </row>
    <row r="2391" spans="1:5" ht="30" customHeight="1">
      <c r="A2391" s="4">
        <v>2389</v>
      </c>
      <c r="B2391" s="4" t="str">
        <f>"39712022060213035085133"</f>
        <v>39712022060213035085133</v>
      </c>
      <c r="C2391" s="4" t="s">
        <v>27</v>
      </c>
      <c r="D2391" s="4" t="str">
        <f>"杜丽敏"</f>
        <v>杜丽敏</v>
      </c>
      <c r="E2391" s="4" t="str">
        <f t="shared" si="105"/>
        <v>女</v>
      </c>
    </row>
    <row r="2392" spans="1:5" ht="30" customHeight="1">
      <c r="A2392" s="4">
        <v>2390</v>
      </c>
      <c r="B2392" s="4" t="str">
        <f>"39712022060213470985329"</f>
        <v>39712022060213470985329</v>
      </c>
      <c r="C2392" s="4" t="s">
        <v>27</v>
      </c>
      <c r="D2392" s="4" t="str">
        <f>"王心怡"</f>
        <v>王心怡</v>
      </c>
      <c r="E2392" s="4" t="str">
        <f t="shared" si="105"/>
        <v>女</v>
      </c>
    </row>
    <row r="2393" spans="1:5" ht="30" customHeight="1">
      <c r="A2393" s="4">
        <v>2391</v>
      </c>
      <c r="B2393" s="4" t="str">
        <f>"39712022060213563585367"</f>
        <v>39712022060213563585367</v>
      </c>
      <c r="C2393" s="4" t="s">
        <v>27</v>
      </c>
      <c r="D2393" s="4" t="str">
        <f>"王小月"</f>
        <v>王小月</v>
      </c>
      <c r="E2393" s="4" t="str">
        <f t="shared" si="105"/>
        <v>女</v>
      </c>
    </row>
    <row r="2394" spans="1:5" ht="30" customHeight="1">
      <c r="A2394" s="4">
        <v>2392</v>
      </c>
      <c r="B2394" s="4" t="str">
        <f>"39712022060214032585400"</f>
        <v>39712022060214032585400</v>
      </c>
      <c r="C2394" s="4" t="s">
        <v>27</v>
      </c>
      <c r="D2394" s="4" t="str">
        <f>"鲍美和"</f>
        <v>鲍美和</v>
      </c>
      <c r="E2394" s="4" t="str">
        <f t="shared" si="105"/>
        <v>女</v>
      </c>
    </row>
    <row r="2395" spans="1:5" ht="30" customHeight="1">
      <c r="A2395" s="4">
        <v>2393</v>
      </c>
      <c r="B2395" s="4" t="str">
        <f>"39712022060214143585441"</f>
        <v>39712022060214143585441</v>
      </c>
      <c r="C2395" s="4" t="s">
        <v>27</v>
      </c>
      <c r="D2395" s="4" t="str">
        <f>"韦绕选"</f>
        <v>韦绕选</v>
      </c>
      <c r="E2395" s="4" t="str">
        <f t="shared" si="105"/>
        <v>女</v>
      </c>
    </row>
    <row r="2396" spans="1:5" ht="30" customHeight="1">
      <c r="A2396" s="4">
        <v>2394</v>
      </c>
      <c r="B2396" s="4" t="str">
        <f>"39712022060214214385470"</f>
        <v>39712022060214214385470</v>
      </c>
      <c r="C2396" s="4" t="s">
        <v>27</v>
      </c>
      <c r="D2396" s="4" t="str">
        <f>"李静"</f>
        <v>李静</v>
      </c>
      <c r="E2396" s="4" t="str">
        <f t="shared" si="105"/>
        <v>女</v>
      </c>
    </row>
    <row r="2397" spans="1:5" ht="30" customHeight="1">
      <c r="A2397" s="4">
        <v>2395</v>
      </c>
      <c r="B2397" s="4" t="str">
        <f>"39712022060214482585580"</f>
        <v>39712022060214482585580</v>
      </c>
      <c r="C2397" s="4" t="s">
        <v>27</v>
      </c>
      <c r="D2397" s="4" t="str">
        <f>"詹先芹"</f>
        <v>詹先芹</v>
      </c>
      <c r="E2397" s="4" t="str">
        <f t="shared" si="105"/>
        <v>女</v>
      </c>
    </row>
    <row r="2398" spans="1:5" ht="30" customHeight="1">
      <c r="A2398" s="4">
        <v>2396</v>
      </c>
      <c r="B2398" s="4" t="str">
        <f>"39712022060214520385605"</f>
        <v>39712022060214520385605</v>
      </c>
      <c r="C2398" s="4" t="s">
        <v>27</v>
      </c>
      <c r="D2398" s="4" t="str">
        <f>"邹秀丽"</f>
        <v>邹秀丽</v>
      </c>
      <c r="E2398" s="4" t="str">
        <f t="shared" si="105"/>
        <v>女</v>
      </c>
    </row>
    <row r="2399" spans="1:5" ht="30" customHeight="1">
      <c r="A2399" s="4">
        <v>2397</v>
      </c>
      <c r="B2399" s="4" t="str">
        <f>"39712022060214555285625"</f>
        <v>39712022060214555285625</v>
      </c>
      <c r="C2399" s="4" t="s">
        <v>27</v>
      </c>
      <c r="D2399" s="4" t="str">
        <f>"邓小凤"</f>
        <v>邓小凤</v>
      </c>
      <c r="E2399" s="4" t="str">
        <f t="shared" si="105"/>
        <v>女</v>
      </c>
    </row>
    <row r="2400" spans="1:5" ht="30" customHeight="1">
      <c r="A2400" s="4">
        <v>2398</v>
      </c>
      <c r="B2400" s="4" t="str">
        <f>"39712022060215003685652"</f>
        <v>39712022060215003685652</v>
      </c>
      <c r="C2400" s="4" t="s">
        <v>27</v>
      </c>
      <c r="D2400" s="4" t="str">
        <f>"管美旭"</f>
        <v>管美旭</v>
      </c>
      <c r="E2400" s="4" t="str">
        <f t="shared" si="105"/>
        <v>女</v>
      </c>
    </row>
    <row r="2401" spans="1:5" ht="30" customHeight="1">
      <c r="A2401" s="4">
        <v>2399</v>
      </c>
      <c r="B2401" s="4" t="str">
        <f>"39712022060215011385656"</f>
        <v>39712022060215011385656</v>
      </c>
      <c r="C2401" s="4" t="s">
        <v>27</v>
      </c>
      <c r="D2401" s="4" t="str">
        <f>"马小燕"</f>
        <v>马小燕</v>
      </c>
      <c r="E2401" s="4" t="str">
        <f t="shared" si="105"/>
        <v>女</v>
      </c>
    </row>
    <row r="2402" spans="1:5" ht="30" customHeight="1">
      <c r="A2402" s="4">
        <v>2400</v>
      </c>
      <c r="B2402" s="4" t="str">
        <f>"39712022060215040385676"</f>
        <v>39712022060215040385676</v>
      </c>
      <c r="C2402" s="4" t="s">
        <v>27</v>
      </c>
      <c r="D2402" s="4" t="str">
        <f>"赵南雁"</f>
        <v>赵南雁</v>
      </c>
      <c r="E2402" s="4" t="str">
        <f t="shared" si="105"/>
        <v>女</v>
      </c>
    </row>
    <row r="2403" spans="1:5" ht="30" customHeight="1">
      <c r="A2403" s="4">
        <v>2401</v>
      </c>
      <c r="B2403" s="4" t="str">
        <f>"39712022060215051385688"</f>
        <v>39712022060215051385688</v>
      </c>
      <c r="C2403" s="4" t="s">
        <v>27</v>
      </c>
      <c r="D2403" s="4" t="str">
        <f>"刘裕花"</f>
        <v>刘裕花</v>
      </c>
      <c r="E2403" s="4" t="str">
        <f t="shared" si="105"/>
        <v>女</v>
      </c>
    </row>
    <row r="2404" spans="1:5" ht="30" customHeight="1">
      <c r="A2404" s="4">
        <v>2402</v>
      </c>
      <c r="B2404" s="4" t="str">
        <f>"39712022060215065385700"</f>
        <v>39712022060215065385700</v>
      </c>
      <c r="C2404" s="4" t="s">
        <v>27</v>
      </c>
      <c r="D2404" s="4" t="str">
        <f>"陈美焕"</f>
        <v>陈美焕</v>
      </c>
      <c r="E2404" s="4" t="str">
        <f t="shared" si="105"/>
        <v>女</v>
      </c>
    </row>
    <row r="2405" spans="1:5" ht="30" customHeight="1">
      <c r="A2405" s="4">
        <v>2403</v>
      </c>
      <c r="B2405" s="4" t="str">
        <f>"39712022060215095285715"</f>
        <v>39712022060215095285715</v>
      </c>
      <c r="C2405" s="4" t="s">
        <v>27</v>
      </c>
      <c r="D2405" s="4" t="str">
        <f>"谢利香"</f>
        <v>谢利香</v>
      </c>
      <c r="E2405" s="4" t="str">
        <f t="shared" si="105"/>
        <v>女</v>
      </c>
    </row>
    <row r="2406" spans="1:5" ht="30" customHeight="1">
      <c r="A2406" s="4">
        <v>2404</v>
      </c>
      <c r="B2406" s="4" t="str">
        <f>"39712022060215200585783"</f>
        <v>39712022060215200585783</v>
      </c>
      <c r="C2406" s="4" t="s">
        <v>27</v>
      </c>
      <c r="D2406" s="4" t="str">
        <f>"吴宇思"</f>
        <v>吴宇思</v>
      </c>
      <c r="E2406" s="4" t="str">
        <f t="shared" si="105"/>
        <v>女</v>
      </c>
    </row>
    <row r="2407" spans="1:5" ht="30" customHeight="1">
      <c r="A2407" s="4">
        <v>2405</v>
      </c>
      <c r="B2407" s="4" t="str">
        <f>"39712022060215205685790"</f>
        <v>39712022060215205685790</v>
      </c>
      <c r="C2407" s="4" t="s">
        <v>27</v>
      </c>
      <c r="D2407" s="4" t="str">
        <f>"吴颖菡"</f>
        <v>吴颖菡</v>
      </c>
      <c r="E2407" s="4" t="str">
        <f t="shared" si="105"/>
        <v>女</v>
      </c>
    </row>
    <row r="2408" spans="1:5" ht="30" customHeight="1">
      <c r="A2408" s="4">
        <v>2406</v>
      </c>
      <c r="B2408" s="4" t="str">
        <f>"39712022060215284585827"</f>
        <v>39712022060215284585827</v>
      </c>
      <c r="C2408" s="4" t="s">
        <v>27</v>
      </c>
      <c r="D2408" s="4" t="str">
        <f>"李雪"</f>
        <v>李雪</v>
      </c>
      <c r="E2408" s="4" t="str">
        <f t="shared" si="105"/>
        <v>女</v>
      </c>
    </row>
    <row r="2409" spans="1:5" ht="30" customHeight="1">
      <c r="A2409" s="4">
        <v>2407</v>
      </c>
      <c r="B2409" s="4" t="str">
        <f>"39712022060215321785846"</f>
        <v>39712022060215321785846</v>
      </c>
      <c r="C2409" s="4" t="s">
        <v>27</v>
      </c>
      <c r="D2409" s="4" t="str">
        <f>"吴倩盈"</f>
        <v>吴倩盈</v>
      </c>
      <c r="E2409" s="4" t="str">
        <f t="shared" si="105"/>
        <v>女</v>
      </c>
    </row>
    <row r="2410" spans="1:5" ht="30" customHeight="1">
      <c r="A2410" s="4">
        <v>2408</v>
      </c>
      <c r="B2410" s="4" t="str">
        <f>"39712022060215472485932"</f>
        <v>39712022060215472485932</v>
      </c>
      <c r="C2410" s="4" t="s">
        <v>27</v>
      </c>
      <c r="D2410" s="4" t="str">
        <f>"陈晨妍"</f>
        <v>陈晨妍</v>
      </c>
      <c r="E2410" s="4" t="str">
        <f t="shared" si="105"/>
        <v>女</v>
      </c>
    </row>
    <row r="2411" spans="1:5" ht="30" customHeight="1">
      <c r="A2411" s="4">
        <v>2409</v>
      </c>
      <c r="B2411" s="4" t="str">
        <f>"39712022060215480785936"</f>
        <v>39712022060215480785936</v>
      </c>
      <c r="C2411" s="4" t="s">
        <v>27</v>
      </c>
      <c r="D2411" s="4" t="str">
        <f>"韩博"</f>
        <v>韩博</v>
      </c>
      <c r="E2411" s="4" t="str">
        <f t="shared" si="105"/>
        <v>女</v>
      </c>
    </row>
    <row r="2412" spans="1:5" ht="30" customHeight="1">
      <c r="A2412" s="4">
        <v>2410</v>
      </c>
      <c r="B2412" s="4" t="str">
        <f>"39712022060215585985994"</f>
        <v>39712022060215585985994</v>
      </c>
      <c r="C2412" s="4" t="s">
        <v>27</v>
      </c>
      <c r="D2412" s="4" t="str">
        <f>"王桂芳"</f>
        <v>王桂芳</v>
      </c>
      <c r="E2412" s="4" t="str">
        <f t="shared" si="105"/>
        <v>女</v>
      </c>
    </row>
    <row r="2413" spans="1:5" ht="30" customHeight="1">
      <c r="A2413" s="4">
        <v>2411</v>
      </c>
      <c r="B2413" s="4" t="str">
        <f>"39712022060216020586007"</f>
        <v>39712022060216020586007</v>
      </c>
      <c r="C2413" s="4" t="s">
        <v>27</v>
      </c>
      <c r="D2413" s="4" t="str">
        <f>"彭冬岚"</f>
        <v>彭冬岚</v>
      </c>
      <c r="E2413" s="4" t="str">
        <f t="shared" si="105"/>
        <v>女</v>
      </c>
    </row>
    <row r="2414" spans="1:5" ht="30" customHeight="1">
      <c r="A2414" s="4">
        <v>2412</v>
      </c>
      <c r="B2414" s="4" t="str">
        <f>"39712022060216024086013"</f>
        <v>39712022060216024086013</v>
      </c>
      <c r="C2414" s="4" t="s">
        <v>27</v>
      </c>
      <c r="D2414" s="4" t="str">
        <f>"杜沁芸"</f>
        <v>杜沁芸</v>
      </c>
      <c r="E2414" s="4" t="str">
        <f t="shared" si="105"/>
        <v>女</v>
      </c>
    </row>
    <row r="2415" spans="1:5" ht="30" customHeight="1">
      <c r="A2415" s="4">
        <v>2413</v>
      </c>
      <c r="B2415" s="4" t="str">
        <f>"39712022060216061886039"</f>
        <v>39712022060216061886039</v>
      </c>
      <c r="C2415" s="4" t="s">
        <v>27</v>
      </c>
      <c r="D2415" s="4" t="str">
        <f>"吴坤芳"</f>
        <v>吴坤芳</v>
      </c>
      <c r="E2415" s="4" t="str">
        <f t="shared" si="105"/>
        <v>女</v>
      </c>
    </row>
    <row r="2416" spans="1:5" ht="30" customHeight="1">
      <c r="A2416" s="4">
        <v>2414</v>
      </c>
      <c r="B2416" s="4" t="str">
        <f>"39712022060216104086067"</f>
        <v>39712022060216104086067</v>
      </c>
      <c r="C2416" s="4" t="s">
        <v>27</v>
      </c>
      <c r="D2416" s="4" t="str">
        <f>"黄金菊"</f>
        <v>黄金菊</v>
      </c>
      <c r="E2416" s="4" t="str">
        <f t="shared" si="105"/>
        <v>女</v>
      </c>
    </row>
    <row r="2417" spans="1:5" ht="30" customHeight="1">
      <c r="A2417" s="4">
        <v>2415</v>
      </c>
      <c r="B2417" s="4" t="str">
        <f>"39712022060216113486073"</f>
        <v>39712022060216113486073</v>
      </c>
      <c r="C2417" s="4" t="s">
        <v>27</v>
      </c>
      <c r="D2417" s="4" t="str">
        <f>"吴开财"</f>
        <v>吴开财</v>
      </c>
      <c r="E2417" s="4" t="str">
        <f t="shared" si="105"/>
        <v>女</v>
      </c>
    </row>
    <row r="2418" spans="1:5" ht="30" customHeight="1">
      <c r="A2418" s="4">
        <v>2416</v>
      </c>
      <c r="B2418" s="4" t="str">
        <f>"39712022060216140686086"</f>
        <v>39712022060216140686086</v>
      </c>
      <c r="C2418" s="4" t="s">
        <v>27</v>
      </c>
      <c r="D2418" s="4" t="str">
        <f>"周健"</f>
        <v>周健</v>
      </c>
      <c r="E2418" s="4" t="str">
        <f t="shared" si="105"/>
        <v>女</v>
      </c>
    </row>
    <row r="2419" spans="1:5" ht="30" customHeight="1">
      <c r="A2419" s="4">
        <v>2417</v>
      </c>
      <c r="B2419" s="4" t="str">
        <f>"39712022060216141286089"</f>
        <v>39712022060216141286089</v>
      </c>
      <c r="C2419" s="4" t="s">
        <v>27</v>
      </c>
      <c r="D2419" s="4" t="str">
        <f>"高元春"</f>
        <v>高元春</v>
      </c>
      <c r="E2419" s="4" t="str">
        <f t="shared" si="105"/>
        <v>女</v>
      </c>
    </row>
    <row r="2420" spans="1:5" ht="30" customHeight="1">
      <c r="A2420" s="4">
        <v>2418</v>
      </c>
      <c r="B2420" s="4" t="str">
        <f>"39712022060216191086125"</f>
        <v>39712022060216191086125</v>
      </c>
      <c r="C2420" s="4" t="s">
        <v>27</v>
      </c>
      <c r="D2420" s="4" t="str">
        <f>"邱春汝"</f>
        <v>邱春汝</v>
      </c>
      <c r="E2420" s="4" t="str">
        <f t="shared" si="105"/>
        <v>女</v>
      </c>
    </row>
    <row r="2421" spans="1:5" ht="30" customHeight="1">
      <c r="A2421" s="4">
        <v>2419</v>
      </c>
      <c r="B2421" s="4" t="str">
        <f>"39712022060216295186179"</f>
        <v>39712022060216295186179</v>
      </c>
      <c r="C2421" s="4" t="s">
        <v>27</v>
      </c>
      <c r="D2421" s="4" t="str">
        <f>"吴敏"</f>
        <v>吴敏</v>
      </c>
      <c r="E2421" s="4" t="str">
        <f t="shared" si="105"/>
        <v>女</v>
      </c>
    </row>
    <row r="2422" spans="1:5" ht="30" customHeight="1">
      <c r="A2422" s="4">
        <v>2420</v>
      </c>
      <c r="B2422" s="4" t="str">
        <f>"39712022060216325286196"</f>
        <v>39712022060216325286196</v>
      </c>
      <c r="C2422" s="4" t="s">
        <v>27</v>
      </c>
      <c r="D2422" s="4" t="str">
        <f>"符美英"</f>
        <v>符美英</v>
      </c>
      <c r="E2422" s="4" t="str">
        <f t="shared" si="105"/>
        <v>女</v>
      </c>
    </row>
    <row r="2423" spans="1:5" ht="30" customHeight="1">
      <c r="A2423" s="4">
        <v>2421</v>
      </c>
      <c r="B2423" s="4" t="str">
        <f>"39712022060216364986208"</f>
        <v>39712022060216364986208</v>
      </c>
      <c r="C2423" s="4" t="s">
        <v>27</v>
      </c>
      <c r="D2423" s="4" t="str">
        <f>"何婧怡"</f>
        <v>何婧怡</v>
      </c>
      <c r="E2423" s="4" t="str">
        <f t="shared" si="105"/>
        <v>女</v>
      </c>
    </row>
    <row r="2424" spans="1:5" ht="30" customHeight="1">
      <c r="A2424" s="4">
        <v>2422</v>
      </c>
      <c r="B2424" s="4" t="str">
        <f>"39712022060216425386235"</f>
        <v>39712022060216425386235</v>
      </c>
      <c r="C2424" s="4" t="s">
        <v>27</v>
      </c>
      <c r="D2424" s="4" t="str">
        <f>"陈俊桦"</f>
        <v>陈俊桦</v>
      </c>
      <c r="E2424" s="4" t="str">
        <f t="shared" si="105"/>
        <v>女</v>
      </c>
    </row>
    <row r="2425" spans="1:5" ht="30" customHeight="1">
      <c r="A2425" s="4">
        <v>2423</v>
      </c>
      <c r="B2425" s="4" t="str">
        <f>"39712022060216501686263"</f>
        <v>39712022060216501686263</v>
      </c>
      <c r="C2425" s="4" t="s">
        <v>27</v>
      </c>
      <c r="D2425" s="4" t="str">
        <f>"陈虹"</f>
        <v>陈虹</v>
      </c>
      <c r="E2425" s="4" t="str">
        <f t="shared" si="105"/>
        <v>女</v>
      </c>
    </row>
    <row r="2426" spans="1:5" ht="30" customHeight="1">
      <c r="A2426" s="4">
        <v>2424</v>
      </c>
      <c r="B2426" s="4" t="str">
        <f>"39712022060216505386269"</f>
        <v>39712022060216505386269</v>
      </c>
      <c r="C2426" s="4" t="s">
        <v>27</v>
      </c>
      <c r="D2426" s="4" t="str">
        <f>"万怡倩"</f>
        <v>万怡倩</v>
      </c>
      <c r="E2426" s="4" t="str">
        <f t="shared" si="105"/>
        <v>女</v>
      </c>
    </row>
    <row r="2427" spans="1:5" ht="30" customHeight="1">
      <c r="A2427" s="4">
        <v>2425</v>
      </c>
      <c r="B2427" s="4" t="str">
        <f>"39712022060217043986332"</f>
        <v>39712022060217043986332</v>
      </c>
      <c r="C2427" s="4" t="s">
        <v>27</v>
      </c>
      <c r="D2427" s="4" t="str">
        <f>"陈海菲"</f>
        <v>陈海菲</v>
      </c>
      <c r="E2427" s="4" t="str">
        <f t="shared" si="105"/>
        <v>女</v>
      </c>
    </row>
    <row r="2428" spans="1:5" ht="30" customHeight="1">
      <c r="A2428" s="4">
        <v>2426</v>
      </c>
      <c r="B2428" s="4" t="str">
        <f>"39712022060217240586431"</f>
        <v>39712022060217240586431</v>
      </c>
      <c r="C2428" s="4" t="s">
        <v>27</v>
      </c>
      <c r="D2428" s="4" t="str">
        <f>"吴丽梦"</f>
        <v>吴丽梦</v>
      </c>
      <c r="E2428" s="4" t="str">
        <f t="shared" si="105"/>
        <v>女</v>
      </c>
    </row>
    <row r="2429" spans="1:5" ht="30" customHeight="1">
      <c r="A2429" s="4">
        <v>2427</v>
      </c>
      <c r="B2429" s="4" t="str">
        <f>"39712022060217241686432"</f>
        <v>39712022060217241686432</v>
      </c>
      <c r="C2429" s="4" t="s">
        <v>27</v>
      </c>
      <c r="D2429" s="4" t="str">
        <f>"何海灵"</f>
        <v>何海灵</v>
      </c>
      <c r="E2429" s="4" t="str">
        <f t="shared" si="105"/>
        <v>女</v>
      </c>
    </row>
    <row r="2430" spans="1:5" ht="30" customHeight="1">
      <c r="A2430" s="4">
        <v>2428</v>
      </c>
      <c r="B2430" s="4" t="str">
        <f>"39712022060217301186456"</f>
        <v>39712022060217301186456</v>
      </c>
      <c r="C2430" s="4" t="s">
        <v>27</v>
      </c>
      <c r="D2430" s="4" t="str">
        <f>"张茗可"</f>
        <v>张茗可</v>
      </c>
      <c r="E2430" s="4" t="str">
        <f t="shared" si="105"/>
        <v>女</v>
      </c>
    </row>
    <row r="2431" spans="1:5" ht="30" customHeight="1">
      <c r="A2431" s="4">
        <v>2429</v>
      </c>
      <c r="B2431" s="4" t="str">
        <f>"39712022060217372286479"</f>
        <v>39712022060217372286479</v>
      </c>
      <c r="C2431" s="4" t="s">
        <v>27</v>
      </c>
      <c r="D2431" s="4" t="str">
        <f>"李斌"</f>
        <v>李斌</v>
      </c>
      <c r="E2431" s="4" t="str">
        <f t="shared" si="105"/>
        <v>女</v>
      </c>
    </row>
    <row r="2432" spans="1:5" ht="30" customHeight="1">
      <c r="A2432" s="4">
        <v>2430</v>
      </c>
      <c r="B2432" s="4" t="str">
        <f>"39712022060217381886486"</f>
        <v>39712022060217381886486</v>
      </c>
      <c r="C2432" s="4" t="s">
        <v>27</v>
      </c>
      <c r="D2432" s="4" t="str">
        <f>"方俪颖"</f>
        <v>方俪颖</v>
      </c>
      <c r="E2432" s="4" t="str">
        <f t="shared" si="105"/>
        <v>女</v>
      </c>
    </row>
    <row r="2433" spans="1:5" ht="30" customHeight="1">
      <c r="A2433" s="4">
        <v>2431</v>
      </c>
      <c r="B2433" s="4" t="str">
        <f>"39712022060217432586505"</f>
        <v>39712022060217432586505</v>
      </c>
      <c r="C2433" s="4" t="s">
        <v>27</v>
      </c>
      <c r="D2433" s="4" t="str">
        <f>"吴海荣"</f>
        <v>吴海荣</v>
      </c>
      <c r="E2433" s="4" t="str">
        <f t="shared" si="105"/>
        <v>女</v>
      </c>
    </row>
    <row r="2434" spans="1:5" ht="30" customHeight="1">
      <c r="A2434" s="4">
        <v>2432</v>
      </c>
      <c r="B2434" s="4" t="str">
        <f>"39712022060217450886514"</f>
        <v>39712022060217450886514</v>
      </c>
      <c r="C2434" s="4" t="s">
        <v>27</v>
      </c>
      <c r="D2434" s="4" t="str">
        <f>"岑晓婷"</f>
        <v>岑晓婷</v>
      </c>
      <c r="E2434" s="4" t="str">
        <f t="shared" si="105"/>
        <v>女</v>
      </c>
    </row>
    <row r="2435" spans="1:5" ht="30" customHeight="1">
      <c r="A2435" s="4">
        <v>2433</v>
      </c>
      <c r="B2435" s="4" t="str">
        <f>"39712022060217451986516"</f>
        <v>39712022060217451986516</v>
      </c>
      <c r="C2435" s="4" t="s">
        <v>27</v>
      </c>
      <c r="D2435" s="4" t="str">
        <f>"章霖静"</f>
        <v>章霖静</v>
      </c>
      <c r="E2435" s="4" t="str">
        <f t="shared" si="105"/>
        <v>女</v>
      </c>
    </row>
    <row r="2436" spans="1:5" ht="30" customHeight="1">
      <c r="A2436" s="4">
        <v>2434</v>
      </c>
      <c r="B2436" s="4" t="str">
        <f>"39712022060217530086542"</f>
        <v>39712022060217530086542</v>
      </c>
      <c r="C2436" s="4" t="s">
        <v>27</v>
      </c>
      <c r="D2436" s="4" t="str">
        <f>"桂小孟"</f>
        <v>桂小孟</v>
      </c>
      <c r="E2436" s="4" t="str">
        <f t="shared" si="105"/>
        <v>女</v>
      </c>
    </row>
    <row r="2437" spans="1:5" ht="30" customHeight="1">
      <c r="A2437" s="4">
        <v>2435</v>
      </c>
      <c r="B2437" s="4" t="str">
        <f>"39712022060217563986561"</f>
        <v>39712022060217563986561</v>
      </c>
      <c r="C2437" s="4" t="s">
        <v>27</v>
      </c>
      <c r="D2437" s="4" t="str">
        <f>"陈益竹"</f>
        <v>陈益竹</v>
      </c>
      <c r="E2437" s="4" t="str">
        <f t="shared" si="105"/>
        <v>女</v>
      </c>
    </row>
    <row r="2438" spans="1:5" ht="30" customHeight="1">
      <c r="A2438" s="4">
        <v>2436</v>
      </c>
      <c r="B2438" s="4" t="str">
        <f>"39712022060218062286599"</f>
        <v>39712022060218062286599</v>
      </c>
      <c r="C2438" s="4" t="s">
        <v>27</v>
      </c>
      <c r="D2438" s="4" t="str">
        <f>"李倩"</f>
        <v>李倩</v>
      </c>
      <c r="E2438" s="4" t="str">
        <f t="shared" si="105"/>
        <v>女</v>
      </c>
    </row>
    <row r="2439" spans="1:5" ht="30" customHeight="1">
      <c r="A2439" s="4">
        <v>2437</v>
      </c>
      <c r="B2439" s="4" t="str">
        <f>"39712022060218083086614"</f>
        <v>39712022060218083086614</v>
      </c>
      <c r="C2439" s="4" t="s">
        <v>27</v>
      </c>
      <c r="D2439" s="4" t="str">
        <f>"杨明旭"</f>
        <v>杨明旭</v>
      </c>
      <c r="E2439" s="4" t="str">
        <f t="shared" si="105"/>
        <v>女</v>
      </c>
    </row>
    <row r="2440" spans="1:5" ht="30" customHeight="1">
      <c r="A2440" s="4">
        <v>2438</v>
      </c>
      <c r="B2440" s="4" t="str">
        <f>"39712022060218140486628"</f>
        <v>39712022060218140486628</v>
      </c>
      <c r="C2440" s="4" t="s">
        <v>27</v>
      </c>
      <c r="D2440" s="4" t="str">
        <f>"吴金丹"</f>
        <v>吴金丹</v>
      </c>
      <c r="E2440" s="4" t="str">
        <f t="shared" si="105"/>
        <v>女</v>
      </c>
    </row>
    <row r="2441" spans="1:5" ht="30" customHeight="1">
      <c r="A2441" s="4">
        <v>2439</v>
      </c>
      <c r="B2441" s="4" t="str">
        <f>"39712022060218150586631"</f>
        <v>39712022060218150586631</v>
      </c>
      <c r="C2441" s="4" t="s">
        <v>27</v>
      </c>
      <c r="D2441" s="4" t="str">
        <f>"陈开顺"</f>
        <v>陈开顺</v>
      </c>
      <c r="E2441" s="4" t="str">
        <f t="shared" si="105"/>
        <v>女</v>
      </c>
    </row>
    <row r="2442" spans="1:5" ht="30" customHeight="1">
      <c r="A2442" s="4">
        <v>2440</v>
      </c>
      <c r="B2442" s="4" t="str">
        <f>"39712022060218153786634"</f>
        <v>39712022060218153786634</v>
      </c>
      <c r="C2442" s="4" t="s">
        <v>27</v>
      </c>
      <c r="D2442" s="4" t="str">
        <f>"覃小咪"</f>
        <v>覃小咪</v>
      </c>
      <c r="E2442" s="4" t="str">
        <f t="shared" si="105"/>
        <v>女</v>
      </c>
    </row>
    <row r="2443" spans="1:5" ht="30" customHeight="1">
      <c r="A2443" s="4">
        <v>2441</v>
      </c>
      <c r="B2443" s="4" t="str">
        <f>"39712022060218342286683"</f>
        <v>39712022060218342286683</v>
      </c>
      <c r="C2443" s="4" t="s">
        <v>27</v>
      </c>
      <c r="D2443" s="4" t="str">
        <f>"陈焕敏"</f>
        <v>陈焕敏</v>
      </c>
      <c r="E2443" s="4" t="str">
        <f t="shared" si="105"/>
        <v>女</v>
      </c>
    </row>
    <row r="2444" spans="1:5" ht="30" customHeight="1">
      <c r="A2444" s="4">
        <v>2442</v>
      </c>
      <c r="B2444" s="4" t="str">
        <f>"39712022060218354086690"</f>
        <v>39712022060218354086690</v>
      </c>
      <c r="C2444" s="4" t="s">
        <v>27</v>
      </c>
      <c r="D2444" s="4" t="str">
        <f>"吴玉霞"</f>
        <v>吴玉霞</v>
      </c>
      <c r="E2444" s="4" t="str">
        <f t="shared" si="105"/>
        <v>女</v>
      </c>
    </row>
    <row r="2445" spans="1:5" ht="30" customHeight="1">
      <c r="A2445" s="4">
        <v>2443</v>
      </c>
      <c r="B2445" s="4" t="str">
        <f>"39712022060218474286723"</f>
        <v>39712022060218474286723</v>
      </c>
      <c r="C2445" s="4" t="s">
        <v>27</v>
      </c>
      <c r="D2445" s="4" t="str">
        <f>"谢黄娇"</f>
        <v>谢黄娇</v>
      </c>
      <c r="E2445" s="4" t="str">
        <f t="shared" si="105"/>
        <v>女</v>
      </c>
    </row>
    <row r="2446" spans="1:5" ht="30" customHeight="1">
      <c r="A2446" s="4">
        <v>2444</v>
      </c>
      <c r="B2446" s="4" t="str">
        <f>"39712022060218523586741"</f>
        <v>39712022060218523586741</v>
      </c>
      <c r="C2446" s="4" t="s">
        <v>27</v>
      </c>
      <c r="D2446" s="4" t="str">
        <f>"赵娟"</f>
        <v>赵娟</v>
      </c>
      <c r="E2446" s="4" t="str">
        <f aca="true" t="shared" si="106" ref="E2446:E2501">"女"</f>
        <v>女</v>
      </c>
    </row>
    <row r="2447" spans="1:5" ht="30" customHeight="1">
      <c r="A2447" s="4">
        <v>2445</v>
      </c>
      <c r="B2447" s="4" t="str">
        <f>"39712022060219035186774"</f>
        <v>39712022060219035186774</v>
      </c>
      <c r="C2447" s="4" t="s">
        <v>27</v>
      </c>
      <c r="D2447" s="4" t="str">
        <f>"王佳玉"</f>
        <v>王佳玉</v>
      </c>
      <c r="E2447" s="4" t="str">
        <f t="shared" si="106"/>
        <v>女</v>
      </c>
    </row>
    <row r="2448" spans="1:5" ht="30" customHeight="1">
      <c r="A2448" s="4">
        <v>2446</v>
      </c>
      <c r="B2448" s="4" t="str">
        <f>"39712022060219384286876"</f>
        <v>39712022060219384286876</v>
      </c>
      <c r="C2448" s="4" t="s">
        <v>27</v>
      </c>
      <c r="D2448" s="4" t="str">
        <f>"莫少娜"</f>
        <v>莫少娜</v>
      </c>
      <c r="E2448" s="4" t="str">
        <f t="shared" si="106"/>
        <v>女</v>
      </c>
    </row>
    <row r="2449" spans="1:5" ht="30" customHeight="1">
      <c r="A2449" s="4">
        <v>2447</v>
      </c>
      <c r="B2449" s="4" t="str">
        <f>"39712022060219420886887"</f>
        <v>39712022060219420886887</v>
      </c>
      <c r="C2449" s="4" t="s">
        <v>27</v>
      </c>
      <c r="D2449" s="4" t="str">
        <f>"朱文文"</f>
        <v>朱文文</v>
      </c>
      <c r="E2449" s="4" t="str">
        <f t="shared" si="106"/>
        <v>女</v>
      </c>
    </row>
    <row r="2450" spans="1:5" ht="30" customHeight="1">
      <c r="A2450" s="4">
        <v>2448</v>
      </c>
      <c r="B2450" s="4" t="str">
        <f>"39712022060219432986890"</f>
        <v>39712022060219432986890</v>
      </c>
      <c r="C2450" s="4" t="s">
        <v>27</v>
      </c>
      <c r="D2450" s="4" t="str">
        <f>"符桂莲"</f>
        <v>符桂莲</v>
      </c>
      <c r="E2450" s="4" t="str">
        <f t="shared" si="106"/>
        <v>女</v>
      </c>
    </row>
    <row r="2451" spans="1:5" ht="30" customHeight="1">
      <c r="A2451" s="4">
        <v>2449</v>
      </c>
      <c r="B2451" s="4" t="str">
        <f>"39712022060219435086892"</f>
        <v>39712022060219435086892</v>
      </c>
      <c r="C2451" s="4" t="s">
        <v>27</v>
      </c>
      <c r="D2451" s="4" t="str">
        <f>"陈积珊"</f>
        <v>陈积珊</v>
      </c>
      <c r="E2451" s="4" t="str">
        <f t="shared" si="106"/>
        <v>女</v>
      </c>
    </row>
    <row r="2452" spans="1:5" ht="30" customHeight="1">
      <c r="A2452" s="4">
        <v>2450</v>
      </c>
      <c r="B2452" s="4" t="str">
        <f>"39712022060219451486895"</f>
        <v>39712022060219451486895</v>
      </c>
      <c r="C2452" s="4" t="s">
        <v>27</v>
      </c>
      <c r="D2452" s="4" t="str">
        <f>"徐文玲"</f>
        <v>徐文玲</v>
      </c>
      <c r="E2452" s="4" t="str">
        <f t="shared" si="106"/>
        <v>女</v>
      </c>
    </row>
    <row r="2453" spans="1:5" ht="30" customHeight="1">
      <c r="A2453" s="4">
        <v>2451</v>
      </c>
      <c r="B2453" s="4" t="str">
        <f>"39712022060219452786896"</f>
        <v>39712022060219452786896</v>
      </c>
      <c r="C2453" s="4" t="s">
        <v>27</v>
      </c>
      <c r="D2453" s="4" t="str">
        <f>"陈静萍"</f>
        <v>陈静萍</v>
      </c>
      <c r="E2453" s="4" t="str">
        <f t="shared" si="106"/>
        <v>女</v>
      </c>
    </row>
    <row r="2454" spans="1:5" ht="30" customHeight="1">
      <c r="A2454" s="4">
        <v>2452</v>
      </c>
      <c r="B2454" s="4" t="str">
        <f>"39712022060220061886946"</f>
        <v>39712022060220061886946</v>
      </c>
      <c r="C2454" s="4" t="s">
        <v>27</v>
      </c>
      <c r="D2454" s="4" t="str">
        <f>"沈金凤"</f>
        <v>沈金凤</v>
      </c>
      <c r="E2454" s="4" t="str">
        <f t="shared" si="106"/>
        <v>女</v>
      </c>
    </row>
    <row r="2455" spans="1:5" ht="30" customHeight="1">
      <c r="A2455" s="4">
        <v>2453</v>
      </c>
      <c r="B2455" s="4" t="str">
        <f>"39712022060220223186983"</f>
        <v>39712022060220223186983</v>
      </c>
      <c r="C2455" s="4" t="s">
        <v>27</v>
      </c>
      <c r="D2455" s="4" t="str">
        <f>"翁小莉"</f>
        <v>翁小莉</v>
      </c>
      <c r="E2455" s="4" t="str">
        <f t="shared" si="106"/>
        <v>女</v>
      </c>
    </row>
    <row r="2456" spans="1:5" ht="30" customHeight="1">
      <c r="A2456" s="4">
        <v>2454</v>
      </c>
      <c r="B2456" s="4" t="str">
        <f>"39712022060220351787016"</f>
        <v>39712022060220351787016</v>
      </c>
      <c r="C2456" s="4" t="s">
        <v>27</v>
      </c>
      <c r="D2456" s="4" t="str">
        <f>"林燕燕"</f>
        <v>林燕燕</v>
      </c>
      <c r="E2456" s="4" t="str">
        <f t="shared" si="106"/>
        <v>女</v>
      </c>
    </row>
    <row r="2457" spans="1:5" ht="30" customHeight="1">
      <c r="A2457" s="4">
        <v>2455</v>
      </c>
      <c r="B2457" s="4" t="str">
        <f>"39712022060220413087035"</f>
        <v>39712022060220413087035</v>
      </c>
      <c r="C2457" s="4" t="s">
        <v>27</v>
      </c>
      <c r="D2457" s="4" t="str">
        <f>"薛春驳"</f>
        <v>薛春驳</v>
      </c>
      <c r="E2457" s="4" t="str">
        <f t="shared" si="106"/>
        <v>女</v>
      </c>
    </row>
    <row r="2458" spans="1:5" ht="30" customHeight="1">
      <c r="A2458" s="4">
        <v>2456</v>
      </c>
      <c r="B2458" s="4" t="str">
        <f>"39712022060220414487038"</f>
        <v>39712022060220414487038</v>
      </c>
      <c r="C2458" s="4" t="s">
        <v>27</v>
      </c>
      <c r="D2458" s="4" t="str">
        <f>"罗欣"</f>
        <v>罗欣</v>
      </c>
      <c r="E2458" s="4" t="str">
        <f t="shared" si="106"/>
        <v>女</v>
      </c>
    </row>
    <row r="2459" spans="1:5" ht="30" customHeight="1">
      <c r="A2459" s="4">
        <v>2457</v>
      </c>
      <c r="B2459" s="4" t="str">
        <f>"39712022060220472487059"</f>
        <v>39712022060220472487059</v>
      </c>
      <c r="C2459" s="4" t="s">
        <v>27</v>
      </c>
      <c r="D2459" s="4" t="str">
        <f>"邝晓惠"</f>
        <v>邝晓惠</v>
      </c>
      <c r="E2459" s="4" t="str">
        <f t="shared" si="106"/>
        <v>女</v>
      </c>
    </row>
    <row r="2460" spans="1:5" ht="30" customHeight="1">
      <c r="A2460" s="4">
        <v>2458</v>
      </c>
      <c r="B2460" s="4" t="str">
        <f>"39712022060221130187143"</f>
        <v>39712022060221130187143</v>
      </c>
      <c r="C2460" s="4" t="s">
        <v>27</v>
      </c>
      <c r="D2460" s="4" t="str">
        <f>"钟娘容"</f>
        <v>钟娘容</v>
      </c>
      <c r="E2460" s="4" t="str">
        <f t="shared" si="106"/>
        <v>女</v>
      </c>
    </row>
    <row r="2461" spans="1:5" ht="30" customHeight="1">
      <c r="A2461" s="4">
        <v>2459</v>
      </c>
      <c r="B2461" s="4" t="str">
        <f>"39712022060221265987200"</f>
        <v>39712022060221265987200</v>
      </c>
      <c r="C2461" s="4" t="s">
        <v>27</v>
      </c>
      <c r="D2461" s="4" t="str">
        <f>"谢丹"</f>
        <v>谢丹</v>
      </c>
      <c r="E2461" s="4" t="str">
        <f t="shared" si="106"/>
        <v>女</v>
      </c>
    </row>
    <row r="2462" spans="1:5" ht="30" customHeight="1">
      <c r="A2462" s="4">
        <v>2460</v>
      </c>
      <c r="B2462" s="4" t="str">
        <f>"39712022060221275987205"</f>
        <v>39712022060221275987205</v>
      </c>
      <c r="C2462" s="4" t="s">
        <v>27</v>
      </c>
      <c r="D2462" s="4" t="str">
        <f>"李丽君"</f>
        <v>李丽君</v>
      </c>
      <c r="E2462" s="4" t="str">
        <f t="shared" si="106"/>
        <v>女</v>
      </c>
    </row>
    <row r="2463" spans="1:5" ht="30" customHeight="1">
      <c r="A2463" s="4">
        <v>2461</v>
      </c>
      <c r="B2463" s="4" t="str">
        <f>"39712022060221475187261"</f>
        <v>39712022060221475187261</v>
      </c>
      <c r="C2463" s="4" t="s">
        <v>27</v>
      </c>
      <c r="D2463" s="4" t="str">
        <f>"符小莉"</f>
        <v>符小莉</v>
      </c>
      <c r="E2463" s="4" t="str">
        <f t="shared" si="106"/>
        <v>女</v>
      </c>
    </row>
    <row r="2464" spans="1:5" ht="30" customHeight="1">
      <c r="A2464" s="4">
        <v>2462</v>
      </c>
      <c r="B2464" s="4" t="str">
        <f>"39712022060221543787278"</f>
        <v>39712022060221543787278</v>
      </c>
      <c r="C2464" s="4" t="s">
        <v>27</v>
      </c>
      <c r="D2464" s="4" t="str">
        <f>"蒙文燕"</f>
        <v>蒙文燕</v>
      </c>
      <c r="E2464" s="4" t="str">
        <f t="shared" si="106"/>
        <v>女</v>
      </c>
    </row>
    <row r="2465" spans="1:5" ht="30" customHeight="1">
      <c r="A2465" s="4">
        <v>2463</v>
      </c>
      <c r="B2465" s="4" t="str">
        <f>"39712022060222092487329"</f>
        <v>39712022060222092487329</v>
      </c>
      <c r="C2465" s="4" t="s">
        <v>27</v>
      </c>
      <c r="D2465" s="4" t="str">
        <f>"胡贤玲"</f>
        <v>胡贤玲</v>
      </c>
      <c r="E2465" s="4" t="str">
        <f t="shared" si="106"/>
        <v>女</v>
      </c>
    </row>
    <row r="2466" spans="1:5" ht="30" customHeight="1">
      <c r="A2466" s="4">
        <v>2464</v>
      </c>
      <c r="B2466" s="4" t="str">
        <f>"39712022060222334987411"</f>
        <v>39712022060222334987411</v>
      </c>
      <c r="C2466" s="4" t="s">
        <v>27</v>
      </c>
      <c r="D2466" s="4" t="str">
        <f>"陈法梅"</f>
        <v>陈法梅</v>
      </c>
      <c r="E2466" s="4" t="str">
        <f t="shared" si="106"/>
        <v>女</v>
      </c>
    </row>
    <row r="2467" spans="1:5" ht="30" customHeight="1">
      <c r="A2467" s="4">
        <v>2465</v>
      </c>
      <c r="B2467" s="4" t="str">
        <f>"39712022060222340887413"</f>
        <v>39712022060222340887413</v>
      </c>
      <c r="C2467" s="4" t="s">
        <v>27</v>
      </c>
      <c r="D2467" s="4" t="str">
        <f>"陈仕云"</f>
        <v>陈仕云</v>
      </c>
      <c r="E2467" s="4" t="str">
        <f t="shared" si="106"/>
        <v>女</v>
      </c>
    </row>
    <row r="2468" spans="1:5" ht="30" customHeight="1">
      <c r="A2468" s="4">
        <v>2466</v>
      </c>
      <c r="B2468" s="4" t="str">
        <f>"39712022060222342087415"</f>
        <v>39712022060222342087415</v>
      </c>
      <c r="C2468" s="4" t="s">
        <v>27</v>
      </c>
      <c r="D2468" s="4" t="str">
        <f>"吴雯"</f>
        <v>吴雯</v>
      </c>
      <c r="E2468" s="4" t="str">
        <f t="shared" si="106"/>
        <v>女</v>
      </c>
    </row>
    <row r="2469" spans="1:5" ht="30" customHeight="1">
      <c r="A2469" s="4">
        <v>2467</v>
      </c>
      <c r="B2469" s="4" t="str">
        <f>"39712022060222424287451"</f>
        <v>39712022060222424287451</v>
      </c>
      <c r="C2469" s="4" t="s">
        <v>27</v>
      </c>
      <c r="D2469" s="4" t="str">
        <f>"邱小云"</f>
        <v>邱小云</v>
      </c>
      <c r="E2469" s="4" t="str">
        <f t="shared" si="106"/>
        <v>女</v>
      </c>
    </row>
    <row r="2470" spans="1:5" ht="30" customHeight="1">
      <c r="A2470" s="4">
        <v>2468</v>
      </c>
      <c r="B2470" s="4" t="str">
        <f>"39712022060222484387472"</f>
        <v>39712022060222484387472</v>
      </c>
      <c r="C2470" s="4" t="s">
        <v>27</v>
      </c>
      <c r="D2470" s="4" t="str">
        <f>"邱菊"</f>
        <v>邱菊</v>
      </c>
      <c r="E2470" s="4" t="str">
        <f t="shared" si="106"/>
        <v>女</v>
      </c>
    </row>
    <row r="2471" spans="1:5" ht="30" customHeight="1">
      <c r="A2471" s="4">
        <v>2469</v>
      </c>
      <c r="B2471" s="4" t="str">
        <f>"39712022060222523487486"</f>
        <v>39712022060222523487486</v>
      </c>
      <c r="C2471" s="4" t="s">
        <v>27</v>
      </c>
      <c r="D2471" s="4" t="str">
        <f>"黎吉逢"</f>
        <v>黎吉逢</v>
      </c>
      <c r="E2471" s="4" t="str">
        <f t="shared" si="106"/>
        <v>女</v>
      </c>
    </row>
    <row r="2472" spans="1:5" ht="30" customHeight="1">
      <c r="A2472" s="4">
        <v>2470</v>
      </c>
      <c r="B2472" s="4" t="str">
        <f>"39712022060222523987487"</f>
        <v>39712022060222523987487</v>
      </c>
      <c r="C2472" s="4" t="s">
        <v>27</v>
      </c>
      <c r="D2472" s="4" t="str">
        <f>"周婷"</f>
        <v>周婷</v>
      </c>
      <c r="E2472" s="4" t="str">
        <f t="shared" si="106"/>
        <v>女</v>
      </c>
    </row>
    <row r="2473" spans="1:5" ht="30" customHeight="1">
      <c r="A2473" s="4">
        <v>2471</v>
      </c>
      <c r="B2473" s="4" t="str">
        <f>"39712022060223040687510"</f>
        <v>39712022060223040687510</v>
      </c>
      <c r="C2473" s="4" t="s">
        <v>27</v>
      </c>
      <c r="D2473" s="4" t="str">
        <f>"李兰泓"</f>
        <v>李兰泓</v>
      </c>
      <c r="E2473" s="4" t="str">
        <f t="shared" si="106"/>
        <v>女</v>
      </c>
    </row>
    <row r="2474" spans="1:5" ht="30" customHeight="1">
      <c r="A2474" s="4">
        <v>2472</v>
      </c>
      <c r="B2474" s="4" t="str">
        <f>"39712022060300104687571"</f>
        <v>39712022060300104687571</v>
      </c>
      <c r="C2474" s="4" t="s">
        <v>27</v>
      </c>
      <c r="D2474" s="4" t="str">
        <f>"郝擎宇"</f>
        <v>郝擎宇</v>
      </c>
      <c r="E2474" s="4" t="str">
        <f t="shared" si="106"/>
        <v>女</v>
      </c>
    </row>
    <row r="2475" spans="1:5" ht="30" customHeight="1">
      <c r="A2475" s="4">
        <v>2473</v>
      </c>
      <c r="B2475" s="4" t="str">
        <f>"39712022060300544087596"</f>
        <v>39712022060300544087596</v>
      </c>
      <c r="C2475" s="4" t="s">
        <v>27</v>
      </c>
      <c r="D2475" s="4" t="str">
        <f>"王妹"</f>
        <v>王妹</v>
      </c>
      <c r="E2475" s="4" t="str">
        <f t="shared" si="106"/>
        <v>女</v>
      </c>
    </row>
    <row r="2476" spans="1:5" ht="30" customHeight="1">
      <c r="A2476" s="4">
        <v>2474</v>
      </c>
      <c r="B2476" s="4" t="str">
        <f>"39712022060308282787646"</f>
        <v>39712022060308282787646</v>
      </c>
      <c r="C2476" s="4" t="s">
        <v>27</v>
      </c>
      <c r="D2476" s="4" t="str">
        <f>"陈佳慧"</f>
        <v>陈佳慧</v>
      </c>
      <c r="E2476" s="4" t="str">
        <f t="shared" si="106"/>
        <v>女</v>
      </c>
    </row>
    <row r="2477" spans="1:5" ht="30" customHeight="1">
      <c r="A2477" s="4">
        <v>2475</v>
      </c>
      <c r="B2477" s="4" t="str">
        <f>"39712022060308413487653"</f>
        <v>39712022060308413487653</v>
      </c>
      <c r="C2477" s="4" t="s">
        <v>27</v>
      </c>
      <c r="D2477" s="4" t="str">
        <f>"吴孟穗"</f>
        <v>吴孟穗</v>
      </c>
      <c r="E2477" s="4" t="str">
        <f t="shared" si="106"/>
        <v>女</v>
      </c>
    </row>
    <row r="2478" spans="1:5" ht="30" customHeight="1">
      <c r="A2478" s="4">
        <v>2476</v>
      </c>
      <c r="B2478" s="4" t="str">
        <f>"39712022060308430287654"</f>
        <v>39712022060308430287654</v>
      </c>
      <c r="C2478" s="4" t="s">
        <v>27</v>
      </c>
      <c r="D2478" s="4" t="str">
        <f>"张春联"</f>
        <v>张春联</v>
      </c>
      <c r="E2478" s="4" t="str">
        <f t="shared" si="106"/>
        <v>女</v>
      </c>
    </row>
    <row r="2479" spans="1:5" ht="30" customHeight="1">
      <c r="A2479" s="4">
        <v>2477</v>
      </c>
      <c r="B2479" s="4" t="str">
        <f>"39712022060309360987707"</f>
        <v>39712022060309360987707</v>
      </c>
      <c r="C2479" s="4" t="s">
        <v>27</v>
      </c>
      <c r="D2479" s="4" t="str">
        <f>"吴月"</f>
        <v>吴月</v>
      </c>
      <c r="E2479" s="4" t="str">
        <f t="shared" si="106"/>
        <v>女</v>
      </c>
    </row>
    <row r="2480" spans="1:5" ht="30" customHeight="1">
      <c r="A2480" s="4">
        <v>2478</v>
      </c>
      <c r="B2480" s="4" t="str">
        <f>"39712022060309404087710"</f>
        <v>39712022060309404087710</v>
      </c>
      <c r="C2480" s="4" t="s">
        <v>27</v>
      </c>
      <c r="D2480" s="4" t="str">
        <f>"张雷阳"</f>
        <v>张雷阳</v>
      </c>
      <c r="E2480" s="4" t="str">
        <f t="shared" si="106"/>
        <v>女</v>
      </c>
    </row>
    <row r="2481" spans="1:5" ht="30" customHeight="1">
      <c r="A2481" s="4">
        <v>2479</v>
      </c>
      <c r="B2481" s="4" t="str">
        <f>"39712022060310053087741"</f>
        <v>39712022060310053087741</v>
      </c>
      <c r="C2481" s="4" t="s">
        <v>27</v>
      </c>
      <c r="D2481" s="4" t="str">
        <f>"陈树美"</f>
        <v>陈树美</v>
      </c>
      <c r="E2481" s="4" t="str">
        <f t="shared" si="106"/>
        <v>女</v>
      </c>
    </row>
    <row r="2482" spans="1:5" ht="30" customHeight="1">
      <c r="A2482" s="4">
        <v>2480</v>
      </c>
      <c r="B2482" s="4" t="str">
        <f>"39712022060310325487782"</f>
        <v>39712022060310325487782</v>
      </c>
      <c r="C2482" s="4" t="s">
        <v>27</v>
      </c>
      <c r="D2482" s="4" t="str">
        <f>"曾丽霖"</f>
        <v>曾丽霖</v>
      </c>
      <c r="E2482" s="4" t="str">
        <f t="shared" si="106"/>
        <v>女</v>
      </c>
    </row>
    <row r="2483" spans="1:5" ht="30" customHeight="1">
      <c r="A2483" s="4">
        <v>2481</v>
      </c>
      <c r="B2483" s="4" t="str">
        <f>"39712022060311253887844"</f>
        <v>39712022060311253887844</v>
      </c>
      <c r="C2483" s="4" t="s">
        <v>27</v>
      </c>
      <c r="D2483" s="4" t="str">
        <f>"陈晓凡"</f>
        <v>陈晓凡</v>
      </c>
      <c r="E2483" s="4" t="str">
        <f t="shared" si="106"/>
        <v>女</v>
      </c>
    </row>
    <row r="2484" spans="1:5" ht="30" customHeight="1">
      <c r="A2484" s="4">
        <v>2482</v>
      </c>
      <c r="B2484" s="4" t="str">
        <f>"39712022060311295987847"</f>
        <v>39712022060311295987847</v>
      </c>
      <c r="C2484" s="4" t="s">
        <v>27</v>
      </c>
      <c r="D2484" s="4" t="str">
        <f>"陈丽云"</f>
        <v>陈丽云</v>
      </c>
      <c r="E2484" s="4" t="str">
        <f t="shared" si="106"/>
        <v>女</v>
      </c>
    </row>
    <row r="2485" spans="1:5" ht="30" customHeight="1">
      <c r="A2485" s="4">
        <v>2483</v>
      </c>
      <c r="B2485" s="4" t="str">
        <f>"39712022060311364587860"</f>
        <v>39712022060311364587860</v>
      </c>
      <c r="C2485" s="4" t="s">
        <v>27</v>
      </c>
      <c r="D2485" s="4" t="str">
        <f>"胡玉蓉"</f>
        <v>胡玉蓉</v>
      </c>
      <c r="E2485" s="4" t="str">
        <f t="shared" si="106"/>
        <v>女</v>
      </c>
    </row>
    <row r="2486" spans="1:5" ht="30" customHeight="1">
      <c r="A2486" s="4">
        <v>2484</v>
      </c>
      <c r="B2486" s="4" t="str">
        <f>"39712022060312053287894"</f>
        <v>39712022060312053287894</v>
      </c>
      <c r="C2486" s="4" t="s">
        <v>27</v>
      </c>
      <c r="D2486" s="4" t="str">
        <f>"曾丽丽"</f>
        <v>曾丽丽</v>
      </c>
      <c r="E2486" s="4" t="str">
        <f t="shared" si="106"/>
        <v>女</v>
      </c>
    </row>
    <row r="2487" spans="1:5" ht="30" customHeight="1">
      <c r="A2487" s="4">
        <v>2485</v>
      </c>
      <c r="B2487" s="4" t="str">
        <f>"39712022060312153387908"</f>
        <v>39712022060312153387908</v>
      </c>
      <c r="C2487" s="4" t="s">
        <v>27</v>
      </c>
      <c r="D2487" s="4" t="str">
        <f>"林艳婕"</f>
        <v>林艳婕</v>
      </c>
      <c r="E2487" s="4" t="str">
        <f t="shared" si="106"/>
        <v>女</v>
      </c>
    </row>
    <row r="2488" spans="1:5" ht="30" customHeight="1">
      <c r="A2488" s="4">
        <v>2486</v>
      </c>
      <c r="B2488" s="4" t="str">
        <f>"39712022060312161287911"</f>
        <v>39712022060312161287911</v>
      </c>
      <c r="C2488" s="4" t="s">
        <v>27</v>
      </c>
      <c r="D2488" s="4" t="str">
        <f>"洪娉婷"</f>
        <v>洪娉婷</v>
      </c>
      <c r="E2488" s="4" t="str">
        <f t="shared" si="106"/>
        <v>女</v>
      </c>
    </row>
    <row r="2489" spans="1:5" ht="30" customHeight="1">
      <c r="A2489" s="4">
        <v>2487</v>
      </c>
      <c r="B2489" s="4" t="str">
        <f>"39712022060312412287927"</f>
        <v>39712022060312412287927</v>
      </c>
      <c r="C2489" s="4" t="s">
        <v>27</v>
      </c>
      <c r="D2489" s="4" t="str">
        <f>"孙雪莹"</f>
        <v>孙雪莹</v>
      </c>
      <c r="E2489" s="4" t="str">
        <f t="shared" si="106"/>
        <v>女</v>
      </c>
    </row>
    <row r="2490" spans="1:5" ht="30" customHeight="1">
      <c r="A2490" s="4">
        <v>2488</v>
      </c>
      <c r="B2490" s="4" t="str">
        <f>"39712022060313001787943"</f>
        <v>39712022060313001787943</v>
      </c>
      <c r="C2490" s="4" t="s">
        <v>27</v>
      </c>
      <c r="D2490" s="4" t="str">
        <f>"王诗诗"</f>
        <v>王诗诗</v>
      </c>
      <c r="E2490" s="4" t="str">
        <f t="shared" si="106"/>
        <v>女</v>
      </c>
    </row>
    <row r="2491" spans="1:5" ht="30" customHeight="1">
      <c r="A2491" s="4">
        <v>2489</v>
      </c>
      <c r="B2491" s="4" t="str">
        <f>"39712022060313180587960"</f>
        <v>39712022060313180587960</v>
      </c>
      <c r="C2491" s="4" t="s">
        <v>27</v>
      </c>
      <c r="D2491" s="4" t="str">
        <f>"李绘"</f>
        <v>李绘</v>
      </c>
      <c r="E2491" s="4" t="str">
        <f t="shared" si="106"/>
        <v>女</v>
      </c>
    </row>
    <row r="2492" spans="1:5" ht="30" customHeight="1">
      <c r="A2492" s="4">
        <v>2490</v>
      </c>
      <c r="B2492" s="4" t="str">
        <f>"39712022060313301387973"</f>
        <v>39712022060313301387973</v>
      </c>
      <c r="C2492" s="4" t="s">
        <v>27</v>
      </c>
      <c r="D2492" s="4" t="str">
        <f>"谢彬彬"</f>
        <v>谢彬彬</v>
      </c>
      <c r="E2492" s="4" t="str">
        <f t="shared" si="106"/>
        <v>女</v>
      </c>
    </row>
    <row r="2493" spans="1:5" ht="30" customHeight="1">
      <c r="A2493" s="4">
        <v>2491</v>
      </c>
      <c r="B2493" s="4" t="str">
        <f>"39712022060313402087980"</f>
        <v>39712022060313402087980</v>
      </c>
      <c r="C2493" s="4" t="s">
        <v>27</v>
      </c>
      <c r="D2493" s="4" t="str">
        <f>"周小芳"</f>
        <v>周小芳</v>
      </c>
      <c r="E2493" s="4" t="str">
        <f t="shared" si="106"/>
        <v>女</v>
      </c>
    </row>
    <row r="2494" spans="1:5" ht="30" customHeight="1">
      <c r="A2494" s="4">
        <v>2492</v>
      </c>
      <c r="B2494" s="4" t="str">
        <f>"39712022060313445787984"</f>
        <v>39712022060313445787984</v>
      </c>
      <c r="C2494" s="4" t="s">
        <v>27</v>
      </c>
      <c r="D2494" s="4" t="str">
        <f>"陈萱"</f>
        <v>陈萱</v>
      </c>
      <c r="E2494" s="4" t="str">
        <f t="shared" si="106"/>
        <v>女</v>
      </c>
    </row>
    <row r="2495" spans="1:5" ht="30" customHeight="1">
      <c r="A2495" s="4">
        <v>2493</v>
      </c>
      <c r="B2495" s="4" t="str">
        <f>"39712022060314132788004"</f>
        <v>39712022060314132788004</v>
      </c>
      <c r="C2495" s="4" t="s">
        <v>27</v>
      </c>
      <c r="D2495" s="4" t="str">
        <f>"杜才凤"</f>
        <v>杜才凤</v>
      </c>
      <c r="E2495" s="4" t="str">
        <f t="shared" si="106"/>
        <v>女</v>
      </c>
    </row>
    <row r="2496" spans="1:5" ht="30" customHeight="1">
      <c r="A2496" s="4">
        <v>2494</v>
      </c>
      <c r="B2496" s="4" t="str">
        <f>"39712022060314440988024"</f>
        <v>39712022060314440988024</v>
      </c>
      <c r="C2496" s="4" t="s">
        <v>27</v>
      </c>
      <c r="D2496" s="4" t="str">
        <f>"黄祖贤"</f>
        <v>黄祖贤</v>
      </c>
      <c r="E2496" s="4" t="str">
        <f t="shared" si="106"/>
        <v>女</v>
      </c>
    </row>
    <row r="2497" spans="1:5" ht="30" customHeight="1">
      <c r="A2497" s="4">
        <v>2495</v>
      </c>
      <c r="B2497" s="4" t="str">
        <f>"39712022060314500488034"</f>
        <v>39712022060314500488034</v>
      </c>
      <c r="C2497" s="4" t="s">
        <v>27</v>
      </c>
      <c r="D2497" s="4" t="str">
        <f>"何小燕"</f>
        <v>何小燕</v>
      </c>
      <c r="E2497" s="4" t="str">
        <f t="shared" si="106"/>
        <v>女</v>
      </c>
    </row>
    <row r="2498" spans="1:5" ht="30" customHeight="1">
      <c r="A2498" s="4">
        <v>2496</v>
      </c>
      <c r="B2498" s="4" t="str">
        <f>"39712022060315065688048"</f>
        <v>39712022060315065688048</v>
      </c>
      <c r="C2498" s="4" t="s">
        <v>27</v>
      </c>
      <c r="D2498" s="4" t="str">
        <f>"赵恒艺"</f>
        <v>赵恒艺</v>
      </c>
      <c r="E2498" s="4" t="str">
        <f t="shared" si="106"/>
        <v>女</v>
      </c>
    </row>
    <row r="2499" spans="1:5" ht="30" customHeight="1">
      <c r="A2499" s="4">
        <v>2497</v>
      </c>
      <c r="B2499" s="4" t="str">
        <f>"39712022060315450088086"</f>
        <v>39712022060315450088086</v>
      </c>
      <c r="C2499" s="4" t="s">
        <v>27</v>
      </c>
      <c r="D2499" s="4" t="str">
        <f>"梁其益"</f>
        <v>梁其益</v>
      </c>
      <c r="E2499" s="4" t="str">
        <f t="shared" si="106"/>
        <v>女</v>
      </c>
    </row>
    <row r="2500" spans="1:5" ht="30" customHeight="1">
      <c r="A2500" s="4">
        <v>2498</v>
      </c>
      <c r="B2500" s="4" t="str">
        <f>"39712022060315560388097"</f>
        <v>39712022060315560388097</v>
      </c>
      <c r="C2500" s="4" t="s">
        <v>27</v>
      </c>
      <c r="D2500" s="4" t="str">
        <f>" 梁波"</f>
        <v> 梁波</v>
      </c>
      <c r="E2500" s="4" t="str">
        <f t="shared" si="106"/>
        <v>女</v>
      </c>
    </row>
    <row r="2501" spans="1:5" ht="30" customHeight="1">
      <c r="A2501" s="4">
        <v>2499</v>
      </c>
      <c r="B2501" s="4" t="str">
        <f>"39712022060317082288164"</f>
        <v>39712022060317082288164</v>
      </c>
      <c r="C2501" s="4" t="s">
        <v>27</v>
      </c>
      <c r="D2501" s="4" t="str">
        <f>"黄婷婷"</f>
        <v>黄婷婷</v>
      </c>
      <c r="E2501" s="4" t="str">
        <f t="shared" si="106"/>
        <v>女</v>
      </c>
    </row>
    <row r="2502" spans="1:5" ht="30" customHeight="1">
      <c r="A2502" s="4">
        <v>2500</v>
      </c>
      <c r="B2502" s="4" t="str">
        <f>"39712022060317312988186"</f>
        <v>39712022060317312988186</v>
      </c>
      <c r="C2502" s="4" t="s">
        <v>27</v>
      </c>
      <c r="D2502" s="4" t="str">
        <f>"周圣亮"</f>
        <v>周圣亮</v>
      </c>
      <c r="E2502" s="4" t="str">
        <f>"男"</f>
        <v>男</v>
      </c>
    </row>
    <row r="2503" spans="1:5" ht="30" customHeight="1">
      <c r="A2503" s="4">
        <v>2501</v>
      </c>
      <c r="B2503" s="4" t="str">
        <f>"39712022060317570888212"</f>
        <v>39712022060317570888212</v>
      </c>
      <c r="C2503" s="4" t="s">
        <v>27</v>
      </c>
      <c r="D2503" s="4" t="str">
        <f>"王丹"</f>
        <v>王丹</v>
      </c>
      <c r="E2503" s="4" t="str">
        <f aca="true" t="shared" si="107" ref="E2503:E2566">"女"</f>
        <v>女</v>
      </c>
    </row>
    <row r="2504" spans="1:5" ht="30" customHeight="1">
      <c r="A2504" s="4">
        <v>2502</v>
      </c>
      <c r="B2504" s="4" t="str">
        <f>"39712022060319091588271"</f>
        <v>39712022060319091588271</v>
      </c>
      <c r="C2504" s="4" t="s">
        <v>27</v>
      </c>
      <c r="D2504" s="4" t="str">
        <f>"翁子惠"</f>
        <v>翁子惠</v>
      </c>
      <c r="E2504" s="4" t="str">
        <f t="shared" si="107"/>
        <v>女</v>
      </c>
    </row>
    <row r="2505" spans="1:5" ht="30" customHeight="1">
      <c r="A2505" s="4">
        <v>2503</v>
      </c>
      <c r="B2505" s="4" t="str">
        <f>"39712022060320473288365"</f>
        <v>39712022060320473288365</v>
      </c>
      <c r="C2505" s="4" t="s">
        <v>27</v>
      </c>
      <c r="D2505" s="4" t="str">
        <f>"温伯婵"</f>
        <v>温伯婵</v>
      </c>
      <c r="E2505" s="4" t="str">
        <f t="shared" si="107"/>
        <v>女</v>
      </c>
    </row>
    <row r="2506" spans="1:5" ht="30" customHeight="1">
      <c r="A2506" s="4">
        <v>2504</v>
      </c>
      <c r="B2506" s="4" t="str">
        <f>"39712022060321034888377"</f>
        <v>39712022060321034888377</v>
      </c>
      <c r="C2506" s="4" t="s">
        <v>27</v>
      </c>
      <c r="D2506" s="4" t="str">
        <f>"李焕虹"</f>
        <v>李焕虹</v>
      </c>
      <c r="E2506" s="4" t="str">
        <f t="shared" si="107"/>
        <v>女</v>
      </c>
    </row>
    <row r="2507" spans="1:5" ht="30" customHeight="1">
      <c r="A2507" s="4">
        <v>2505</v>
      </c>
      <c r="B2507" s="4" t="str">
        <f>"39712022060321173988394"</f>
        <v>39712022060321173988394</v>
      </c>
      <c r="C2507" s="4" t="s">
        <v>27</v>
      </c>
      <c r="D2507" s="4" t="str">
        <f>"陈婧"</f>
        <v>陈婧</v>
      </c>
      <c r="E2507" s="4" t="str">
        <f t="shared" si="107"/>
        <v>女</v>
      </c>
    </row>
    <row r="2508" spans="1:5" ht="30" customHeight="1">
      <c r="A2508" s="4">
        <v>2506</v>
      </c>
      <c r="B2508" s="4" t="str">
        <f>"39712022060321363788418"</f>
        <v>39712022060321363788418</v>
      </c>
      <c r="C2508" s="4" t="s">
        <v>27</v>
      </c>
      <c r="D2508" s="4" t="str">
        <f>"黄坤婷"</f>
        <v>黄坤婷</v>
      </c>
      <c r="E2508" s="4" t="str">
        <f t="shared" si="107"/>
        <v>女</v>
      </c>
    </row>
    <row r="2509" spans="1:5" ht="30" customHeight="1">
      <c r="A2509" s="4">
        <v>2507</v>
      </c>
      <c r="B2509" s="4" t="str">
        <f>"39712022060322012688445"</f>
        <v>39712022060322012688445</v>
      </c>
      <c r="C2509" s="4" t="s">
        <v>27</v>
      </c>
      <c r="D2509" s="4" t="str">
        <f>"韩璎"</f>
        <v>韩璎</v>
      </c>
      <c r="E2509" s="4" t="str">
        <f t="shared" si="107"/>
        <v>女</v>
      </c>
    </row>
    <row r="2510" spans="1:5" ht="30" customHeight="1">
      <c r="A2510" s="4">
        <v>2508</v>
      </c>
      <c r="B2510" s="4" t="str">
        <f>"39712022060322320588480"</f>
        <v>39712022060322320588480</v>
      </c>
      <c r="C2510" s="4" t="s">
        <v>27</v>
      </c>
      <c r="D2510" s="4" t="str">
        <f>"吴李莲"</f>
        <v>吴李莲</v>
      </c>
      <c r="E2510" s="4" t="str">
        <f t="shared" si="107"/>
        <v>女</v>
      </c>
    </row>
    <row r="2511" spans="1:5" ht="30" customHeight="1">
      <c r="A2511" s="4">
        <v>2509</v>
      </c>
      <c r="B2511" s="4" t="str">
        <f>"39712022060322581188509"</f>
        <v>39712022060322581188509</v>
      </c>
      <c r="C2511" s="4" t="s">
        <v>27</v>
      </c>
      <c r="D2511" s="4" t="str">
        <f>"方小芳"</f>
        <v>方小芳</v>
      </c>
      <c r="E2511" s="4" t="str">
        <f t="shared" si="107"/>
        <v>女</v>
      </c>
    </row>
    <row r="2512" spans="1:5" ht="30" customHeight="1">
      <c r="A2512" s="4">
        <v>2510</v>
      </c>
      <c r="B2512" s="4" t="str">
        <f>"39712022060409074988626"</f>
        <v>39712022060409074988626</v>
      </c>
      <c r="C2512" s="4" t="s">
        <v>27</v>
      </c>
      <c r="D2512" s="4" t="str">
        <f>"符博秀"</f>
        <v>符博秀</v>
      </c>
      <c r="E2512" s="4" t="str">
        <f t="shared" si="107"/>
        <v>女</v>
      </c>
    </row>
    <row r="2513" spans="1:5" ht="30" customHeight="1">
      <c r="A2513" s="4">
        <v>2511</v>
      </c>
      <c r="B2513" s="4" t="str">
        <f>"39712022060409165688637"</f>
        <v>39712022060409165688637</v>
      </c>
      <c r="C2513" s="4" t="s">
        <v>27</v>
      </c>
      <c r="D2513" s="4" t="str">
        <f>"杨玉琳"</f>
        <v>杨玉琳</v>
      </c>
      <c r="E2513" s="4" t="str">
        <f t="shared" si="107"/>
        <v>女</v>
      </c>
    </row>
    <row r="2514" spans="1:5" ht="30" customHeight="1">
      <c r="A2514" s="4">
        <v>2512</v>
      </c>
      <c r="B2514" s="4" t="str">
        <f>"39712022060409404288651"</f>
        <v>39712022060409404288651</v>
      </c>
      <c r="C2514" s="4" t="s">
        <v>27</v>
      </c>
      <c r="D2514" s="4" t="str">
        <f>"何莹"</f>
        <v>何莹</v>
      </c>
      <c r="E2514" s="4" t="str">
        <f t="shared" si="107"/>
        <v>女</v>
      </c>
    </row>
    <row r="2515" spans="1:5" ht="30" customHeight="1">
      <c r="A2515" s="4">
        <v>2513</v>
      </c>
      <c r="B2515" s="4" t="str">
        <f>"39712022060410043388683"</f>
        <v>39712022060410043388683</v>
      </c>
      <c r="C2515" s="4" t="s">
        <v>27</v>
      </c>
      <c r="D2515" s="4" t="str">
        <f>"麦瑶"</f>
        <v>麦瑶</v>
      </c>
      <c r="E2515" s="4" t="str">
        <f t="shared" si="107"/>
        <v>女</v>
      </c>
    </row>
    <row r="2516" spans="1:5" ht="30" customHeight="1">
      <c r="A2516" s="4">
        <v>2514</v>
      </c>
      <c r="B2516" s="4" t="str">
        <f>"39712022060410130188701"</f>
        <v>39712022060410130188701</v>
      </c>
      <c r="C2516" s="4" t="s">
        <v>27</v>
      </c>
      <c r="D2516" s="4" t="str">
        <f>"苏云珍"</f>
        <v>苏云珍</v>
      </c>
      <c r="E2516" s="4" t="str">
        <f t="shared" si="107"/>
        <v>女</v>
      </c>
    </row>
    <row r="2517" spans="1:5" ht="30" customHeight="1">
      <c r="A2517" s="4">
        <v>2515</v>
      </c>
      <c r="B2517" s="4" t="str">
        <f>"39712022060410140088703"</f>
        <v>39712022060410140088703</v>
      </c>
      <c r="C2517" s="4" t="s">
        <v>27</v>
      </c>
      <c r="D2517" s="4" t="str">
        <f>"古海璐"</f>
        <v>古海璐</v>
      </c>
      <c r="E2517" s="4" t="str">
        <f t="shared" si="107"/>
        <v>女</v>
      </c>
    </row>
    <row r="2518" spans="1:5" ht="30" customHeight="1">
      <c r="A2518" s="4">
        <v>2516</v>
      </c>
      <c r="B2518" s="4" t="str">
        <f>"39712022060410400388741"</f>
        <v>39712022060410400388741</v>
      </c>
      <c r="C2518" s="4" t="s">
        <v>27</v>
      </c>
      <c r="D2518" s="4" t="str">
        <f>"郑丕俏"</f>
        <v>郑丕俏</v>
      </c>
      <c r="E2518" s="4" t="str">
        <f t="shared" si="107"/>
        <v>女</v>
      </c>
    </row>
    <row r="2519" spans="1:5" ht="30" customHeight="1">
      <c r="A2519" s="4">
        <v>2517</v>
      </c>
      <c r="B2519" s="4" t="str">
        <f>"39712022060411072288784"</f>
        <v>39712022060411072288784</v>
      </c>
      <c r="C2519" s="4" t="s">
        <v>27</v>
      </c>
      <c r="D2519" s="4" t="str">
        <f>"马巧玲"</f>
        <v>马巧玲</v>
      </c>
      <c r="E2519" s="4" t="str">
        <f t="shared" si="107"/>
        <v>女</v>
      </c>
    </row>
    <row r="2520" spans="1:5" ht="30" customHeight="1">
      <c r="A2520" s="4">
        <v>2518</v>
      </c>
      <c r="B2520" s="4" t="str">
        <f>"39712022060411103288787"</f>
        <v>39712022060411103288787</v>
      </c>
      <c r="C2520" s="4" t="s">
        <v>27</v>
      </c>
      <c r="D2520" s="4" t="str">
        <f>"黎怡怡"</f>
        <v>黎怡怡</v>
      </c>
      <c r="E2520" s="4" t="str">
        <f t="shared" si="107"/>
        <v>女</v>
      </c>
    </row>
    <row r="2521" spans="1:5" ht="30" customHeight="1">
      <c r="A2521" s="4">
        <v>2519</v>
      </c>
      <c r="B2521" s="4" t="str">
        <f>"39712022060411382588815"</f>
        <v>39712022060411382588815</v>
      </c>
      <c r="C2521" s="4" t="s">
        <v>27</v>
      </c>
      <c r="D2521" s="4" t="str">
        <f>"孙宇"</f>
        <v>孙宇</v>
      </c>
      <c r="E2521" s="4" t="str">
        <f t="shared" si="107"/>
        <v>女</v>
      </c>
    </row>
    <row r="2522" spans="1:5" ht="30" customHeight="1">
      <c r="A2522" s="4">
        <v>2520</v>
      </c>
      <c r="B2522" s="4" t="str">
        <f>"39712022060412210688852"</f>
        <v>39712022060412210688852</v>
      </c>
      <c r="C2522" s="4" t="s">
        <v>27</v>
      </c>
      <c r="D2522" s="4" t="str">
        <f>"邢美娟"</f>
        <v>邢美娟</v>
      </c>
      <c r="E2522" s="4" t="str">
        <f t="shared" si="107"/>
        <v>女</v>
      </c>
    </row>
    <row r="2523" spans="1:5" ht="30" customHeight="1">
      <c r="A2523" s="4">
        <v>2521</v>
      </c>
      <c r="B2523" s="4" t="str">
        <f>"39712022060412313288865"</f>
        <v>39712022060412313288865</v>
      </c>
      <c r="C2523" s="4" t="s">
        <v>27</v>
      </c>
      <c r="D2523" s="4" t="str">
        <f>"庞穗彬"</f>
        <v>庞穗彬</v>
      </c>
      <c r="E2523" s="4" t="str">
        <f t="shared" si="107"/>
        <v>女</v>
      </c>
    </row>
    <row r="2524" spans="1:5" ht="30" customHeight="1">
      <c r="A2524" s="4">
        <v>2522</v>
      </c>
      <c r="B2524" s="4" t="str">
        <f>"39712022060412321388866"</f>
        <v>39712022060412321388866</v>
      </c>
      <c r="C2524" s="4" t="s">
        <v>27</v>
      </c>
      <c r="D2524" s="4" t="str">
        <f>"吴环琴"</f>
        <v>吴环琴</v>
      </c>
      <c r="E2524" s="4" t="str">
        <f t="shared" si="107"/>
        <v>女</v>
      </c>
    </row>
    <row r="2525" spans="1:5" ht="30" customHeight="1">
      <c r="A2525" s="4">
        <v>2523</v>
      </c>
      <c r="B2525" s="4" t="str">
        <f>"39712022060412492888885"</f>
        <v>39712022060412492888885</v>
      </c>
      <c r="C2525" s="4" t="s">
        <v>27</v>
      </c>
      <c r="D2525" s="4" t="str">
        <f>"符倩"</f>
        <v>符倩</v>
      </c>
      <c r="E2525" s="4" t="str">
        <f t="shared" si="107"/>
        <v>女</v>
      </c>
    </row>
    <row r="2526" spans="1:5" ht="30" customHeight="1">
      <c r="A2526" s="4">
        <v>2524</v>
      </c>
      <c r="B2526" s="4" t="str">
        <f>"39712022060413121388903"</f>
        <v>39712022060413121388903</v>
      </c>
      <c r="C2526" s="4" t="s">
        <v>27</v>
      </c>
      <c r="D2526" s="4" t="str">
        <f>"郑银萍"</f>
        <v>郑银萍</v>
      </c>
      <c r="E2526" s="4" t="str">
        <f t="shared" si="107"/>
        <v>女</v>
      </c>
    </row>
    <row r="2527" spans="1:5" ht="30" customHeight="1">
      <c r="A2527" s="4">
        <v>2525</v>
      </c>
      <c r="B2527" s="4" t="str">
        <f>"39712022060414082988943"</f>
        <v>39712022060414082988943</v>
      </c>
      <c r="C2527" s="4" t="s">
        <v>27</v>
      </c>
      <c r="D2527" s="4" t="str">
        <f>"陈梦"</f>
        <v>陈梦</v>
      </c>
      <c r="E2527" s="4" t="str">
        <f t="shared" si="107"/>
        <v>女</v>
      </c>
    </row>
    <row r="2528" spans="1:5" ht="30" customHeight="1">
      <c r="A2528" s="4">
        <v>2526</v>
      </c>
      <c r="B2528" s="4" t="str">
        <f>"39712022060414281388963"</f>
        <v>39712022060414281388963</v>
      </c>
      <c r="C2528" s="4" t="s">
        <v>27</v>
      </c>
      <c r="D2528" s="4" t="str">
        <f>"李佳音"</f>
        <v>李佳音</v>
      </c>
      <c r="E2528" s="4" t="str">
        <f t="shared" si="107"/>
        <v>女</v>
      </c>
    </row>
    <row r="2529" spans="1:5" ht="30" customHeight="1">
      <c r="A2529" s="4">
        <v>2527</v>
      </c>
      <c r="B2529" s="4" t="str">
        <f>"39712022060416393789107"</f>
        <v>39712022060416393789107</v>
      </c>
      <c r="C2529" s="4" t="s">
        <v>27</v>
      </c>
      <c r="D2529" s="4" t="str">
        <f>"吴小容"</f>
        <v>吴小容</v>
      </c>
      <c r="E2529" s="4" t="str">
        <f t="shared" si="107"/>
        <v>女</v>
      </c>
    </row>
    <row r="2530" spans="1:5" ht="30" customHeight="1">
      <c r="A2530" s="4">
        <v>2528</v>
      </c>
      <c r="B2530" s="4" t="str">
        <f>"39712022060417214989150"</f>
        <v>39712022060417214989150</v>
      </c>
      <c r="C2530" s="4" t="s">
        <v>27</v>
      </c>
      <c r="D2530" s="4" t="str">
        <f>"陈少娥"</f>
        <v>陈少娥</v>
      </c>
      <c r="E2530" s="4" t="str">
        <f t="shared" si="107"/>
        <v>女</v>
      </c>
    </row>
    <row r="2531" spans="1:5" ht="30" customHeight="1">
      <c r="A2531" s="4">
        <v>2529</v>
      </c>
      <c r="B2531" s="4" t="str">
        <f>"39712022060418324189216"</f>
        <v>39712022060418324189216</v>
      </c>
      <c r="C2531" s="4" t="s">
        <v>27</v>
      </c>
      <c r="D2531" s="4" t="str">
        <f>"莫书栋"</f>
        <v>莫书栋</v>
      </c>
      <c r="E2531" s="4" t="str">
        <f t="shared" si="107"/>
        <v>女</v>
      </c>
    </row>
    <row r="2532" spans="1:5" ht="30" customHeight="1">
      <c r="A2532" s="4">
        <v>2530</v>
      </c>
      <c r="B2532" s="4" t="str">
        <f>"39712022060419011589240"</f>
        <v>39712022060419011589240</v>
      </c>
      <c r="C2532" s="4" t="s">
        <v>27</v>
      </c>
      <c r="D2532" s="4" t="str">
        <f>"李秋"</f>
        <v>李秋</v>
      </c>
      <c r="E2532" s="4" t="str">
        <f t="shared" si="107"/>
        <v>女</v>
      </c>
    </row>
    <row r="2533" spans="1:5" ht="30" customHeight="1">
      <c r="A2533" s="4">
        <v>2531</v>
      </c>
      <c r="B2533" s="4" t="str">
        <f>"39712022060419262189265"</f>
        <v>39712022060419262189265</v>
      </c>
      <c r="C2533" s="4" t="s">
        <v>27</v>
      </c>
      <c r="D2533" s="4" t="str">
        <f>"王妃"</f>
        <v>王妃</v>
      </c>
      <c r="E2533" s="4" t="str">
        <f t="shared" si="107"/>
        <v>女</v>
      </c>
    </row>
    <row r="2534" spans="1:5" ht="30" customHeight="1">
      <c r="A2534" s="4">
        <v>2532</v>
      </c>
      <c r="B2534" s="4" t="str">
        <f>"39712022060419525789288"</f>
        <v>39712022060419525789288</v>
      </c>
      <c r="C2534" s="4" t="s">
        <v>27</v>
      </c>
      <c r="D2534" s="4" t="str">
        <f>"冯小娇"</f>
        <v>冯小娇</v>
      </c>
      <c r="E2534" s="4" t="str">
        <f t="shared" si="107"/>
        <v>女</v>
      </c>
    </row>
    <row r="2535" spans="1:5" ht="30" customHeight="1">
      <c r="A2535" s="4">
        <v>2533</v>
      </c>
      <c r="B2535" s="4" t="str">
        <f>"39712022060420454589341"</f>
        <v>39712022060420454589341</v>
      </c>
      <c r="C2535" s="4" t="s">
        <v>27</v>
      </c>
      <c r="D2535" s="4" t="str">
        <f>"王蔚"</f>
        <v>王蔚</v>
      </c>
      <c r="E2535" s="4" t="str">
        <f t="shared" si="107"/>
        <v>女</v>
      </c>
    </row>
    <row r="2536" spans="1:5" ht="30" customHeight="1">
      <c r="A2536" s="4">
        <v>2534</v>
      </c>
      <c r="B2536" s="4" t="str">
        <f>"39712022060420510589346"</f>
        <v>39712022060420510589346</v>
      </c>
      <c r="C2536" s="4" t="s">
        <v>27</v>
      </c>
      <c r="D2536" s="4" t="str">
        <f>"王碧"</f>
        <v>王碧</v>
      </c>
      <c r="E2536" s="4" t="str">
        <f t="shared" si="107"/>
        <v>女</v>
      </c>
    </row>
    <row r="2537" spans="1:5" ht="30" customHeight="1">
      <c r="A2537" s="4">
        <v>2535</v>
      </c>
      <c r="B2537" s="4" t="str">
        <f>"39712022060420521489351"</f>
        <v>39712022060420521489351</v>
      </c>
      <c r="C2537" s="4" t="s">
        <v>27</v>
      </c>
      <c r="D2537" s="4" t="str">
        <f>"陈小妹"</f>
        <v>陈小妹</v>
      </c>
      <c r="E2537" s="4" t="str">
        <f t="shared" si="107"/>
        <v>女</v>
      </c>
    </row>
    <row r="2538" spans="1:5" ht="30" customHeight="1">
      <c r="A2538" s="4">
        <v>2536</v>
      </c>
      <c r="B2538" s="4" t="str">
        <f>"39712022060421044489366"</f>
        <v>39712022060421044489366</v>
      </c>
      <c r="C2538" s="4" t="s">
        <v>27</v>
      </c>
      <c r="D2538" s="4" t="str">
        <f>"王夏盈"</f>
        <v>王夏盈</v>
      </c>
      <c r="E2538" s="4" t="str">
        <f t="shared" si="107"/>
        <v>女</v>
      </c>
    </row>
    <row r="2539" spans="1:5" ht="30" customHeight="1">
      <c r="A2539" s="4">
        <v>2537</v>
      </c>
      <c r="B2539" s="4" t="str">
        <f>"39712022060421110189375"</f>
        <v>39712022060421110189375</v>
      </c>
      <c r="C2539" s="4" t="s">
        <v>27</v>
      </c>
      <c r="D2539" s="4" t="str">
        <f>"林小娇"</f>
        <v>林小娇</v>
      </c>
      <c r="E2539" s="4" t="str">
        <f t="shared" si="107"/>
        <v>女</v>
      </c>
    </row>
    <row r="2540" spans="1:5" ht="30" customHeight="1">
      <c r="A2540" s="4">
        <v>2538</v>
      </c>
      <c r="B2540" s="4" t="str">
        <f>"39712022060422103189433"</f>
        <v>39712022060422103189433</v>
      </c>
      <c r="C2540" s="4" t="s">
        <v>27</v>
      </c>
      <c r="D2540" s="4" t="str">
        <f>"林小慧"</f>
        <v>林小慧</v>
      </c>
      <c r="E2540" s="4" t="str">
        <f t="shared" si="107"/>
        <v>女</v>
      </c>
    </row>
    <row r="2541" spans="1:5" ht="30" customHeight="1">
      <c r="A2541" s="4">
        <v>2539</v>
      </c>
      <c r="B2541" s="4" t="str">
        <f>"39712022060422135289436"</f>
        <v>39712022060422135289436</v>
      </c>
      <c r="C2541" s="4" t="s">
        <v>27</v>
      </c>
      <c r="D2541" s="4" t="str">
        <f>"陈苗"</f>
        <v>陈苗</v>
      </c>
      <c r="E2541" s="4" t="str">
        <f t="shared" si="107"/>
        <v>女</v>
      </c>
    </row>
    <row r="2542" spans="1:5" ht="30" customHeight="1">
      <c r="A2542" s="4">
        <v>2540</v>
      </c>
      <c r="B2542" s="4" t="str">
        <f>"39712022060422353089463"</f>
        <v>39712022060422353089463</v>
      </c>
      <c r="C2542" s="4" t="s">
        <v>27</v>
      </c>
      <c r="D2542" s="4" t="str">
        <f>"王晓雯"</f>
        <v>王晓雯</v>
      </c>
      <c r="E2542" s="4" t="str">
        <f t="shared" si="107"/>
        <v>女</v>
      </c>
    </row>
    <row r="2543" spans="1:5" ht="30" customHeight="1">
      <c r="A2543" s="4">
        <v>2541</v>
      </c>
      <c r="B2543" s="4" t="str">
        <f>"39712022060422541689485"</f>
        <v>39712022060422541689485</v>
      </c>
      <c r="C2543" s="4" t="s">
        <v>27</v>
      </c>
      <c r="D2543" s="4" t="str">
        <f>"张淑钰"</f>
        <v>张淑钰</v>
      </c>
      <c r="E2543" s="4" t="str">
        <f t="shared" si="107"/>
        <v>女</v>
      </c>
    </row>
    <row r="2544" spans="1:5" ht="30" customHeight="1">
      <c r="A2544" s="4">
        <v>2542</v>
      </c>
      <c r="B2544" s="4" t="str">
        <f>"39712022060423492789538"</f>
        <v>39712022060423492789538</v>
      </c>
      <c r="C2544" s="4" t="s">
        <v>27</v>
      </c>
      <c r="D2544" s="4" t="str">
        <f>"杨平碗"</f>
        <v>杨平碗</v>
      </c>
      <c r="E2544" s="4" t="str">
        <f t="shared" si="107"/>
        <v>女</v>
      </c>
    </row>
    <row r="2545" spans="1:5" ht="30" customHeight="1">
      <c r="A2545" s="4">
        <v>2543</v>
      </c>
      <c r="B2545" s="4" t="str">
        <f>"39712022060500070889550"</f>
        <v>39712022060500070889550</v>
      </c>
      <c r="C2545" s="4" t="s">
        <v>27</v>
      </c>
      <c r="D2545" s="4" t="str">
        <f>"符仍善"</f>
        <v>符仍善</v>
      </c>
      <c r="E2545" s="4" t="str">
        <f t="shared" si="107"/>
        <v>女</v>
      </c>
    </row>
    <row r="2546" spans="1:5" ht="30" customHeight="1">
      <c r="A2546" s="4">
        <v>2544</v>
      </c>
      <c r="B2546" s="4" t="str">
        <f>"39712022060500180589561"</f>
        <v>39712022060500180589561</v>
      </c>
      <c r="C2546" s="4" t="s">
        <v>27</v>
      </c>
      <c r="D2546" s="4" t="str">
        <f>"吴群"</f>
        <v>吴群</v>
      </c>
      <c r="E2546" s="4" t="str">
        <f t="shared" si="107"/>
        <v>女</v>
      </c>
    </row>
    <row r="2547" spans="1:5" ht="30" customHeight="1">
      <c r="A2547" s="4">
        <v>2545</v>
      </c>
      <c r="B2547" s="4" t="str">
        <f>"39712022060508180589590"</f>
        <v>39712022060508180589590</v>
      </c>
      <c r="C2547" s="4" t="s">
        <v>27</v>
      </c>
      <c r="D2547" s="4" t="str">
        <f>"黄小红"</f>
        <v>黄小红</v>
      </c>
      <c r="E2547" s="4" t="str">
        <f t="shared" si="107"/>
        <v>女</v>
      </c>
    </row>
    <row r="2548" spans="1:5" ht="30" customHeight="1">
      <c r="A2548" s="4">
        <v>2546</v>
      </c>
      <c r="B2548" s="4" t="str">
        <f>"39712022060510344489792"</f>
        <v>39712022060510344489792</v>
      </c>
      <c r="C2548" s="4" t="s">
        <v>27</v>
      </c>
      <c r="D2548" s="4" t="str">
        <f>"李丽萍"</f>
        <v>李丽萍</v>
      </c>
      <c r="E2548" s="4" t="str">
        <f t="shared" si="107"/>
        <v>女</v>
      </c>
    </row>
    <row r="2549" spans="1:5" ht="30" customHeight="1">
      <c r="A2549" s="4">
        <v>2547</v>
      </c>
      <c r="B2549" s="4" t="str">
        <f>"39712022060511091989860"</f>
        <v>39712022060511091989860</v>
      </c>
      <c r="C2549" s="4" t="s">
        <v>27</v>
      </c>
      <c r="D2549" s="4" t="str">
        <f>"杨帆"</f>
        <v>杨帆</v>
      </c>
      <c r="E2549" s="4" t="str">
        <f t="shared" si="107"/>
        <v>女</v>
      </c>
    </row>
    <row r="2550" spans="1:5" ht="30" customHeight="1">
      <c r="A2550" s="4">
        <v>2548</v>
      </c>
      <c r="B2550" s="4" t="str">
        <f>"39712022060511161289870"</f>
        <v>39712022060511161289870</v>
      </c>
      <c r="C2550" s="4" t="s">
        <v>27</v>
      </c>
      <c r="D2550" s="4" t="str">
        <f>"韩小媛"</f>
        <v>韩小媛</v>
      </c>
      <c r="E2550" s="4" t="str">
        <f t="shared" si="107"/>
        <v>女</v>
      </c>
    </row>
    <row r="2551" spans="1:5" ht="30" customHeight="1">
      <c r="A2551" s="4">
        <v>2549</v>
      </c>
      <c r="B2551" s="4" t="str">
        <f>"39712022060511210089877"</f>
        <v>39712022060511210089877</v>
      </c>
      <c r="C2551" s="4" t="s">
        <v>27</v>
      </c>
      <c r="D2551" s="4" t="str">
        <f>"王娟"</f>
        <v>王娟</v>
      </c>
      <c r="E2551" s="4" t="str">
        <f t="shared" si="107"/>
        <v>女</v>
      </c>
    </row>
    <row r="2552" spans="1:5" ht="30" customHeight="1">
      <c r="A2552" s="4">
        <v>2550</v>
      </c>
      <c r="B2552" s="4" t="str">
        <f>"39712022060512053289952"</f>
        <v>39712022060512053289952</v>
      </c>
      <c r="C2552" s="4" t="s">
        <v>27</v>
      </c>
      <c r="D2552" s="4" t="str">
        <f>"郑桂园"</f>
        <v>郑桂园</v>
      </c>
      <c r="E2552" s="4" t="str">
        <f t="shared" si="107"/>
        <v>女</v>
      </c>
    </row>
    <row r="2553" spans="1:5" ht="30" customHeight="1">
      <c r="A2553" s="4">
        <v>2551</v>
      </c>
      <c r="B2553" s="4" t="str">
        <f>"39712022060512111089959"</f>
        <v>39712022060512111089959</v>
      </c>
      <c r="C2553" s="4" t="s">
        <v>27</v>
      </c>
      <c r="D2553" s="4" t="str">
        <f>"吴春琴"</f>
        <v>吴春琴</v>
      </c>
      <c r="E2553" s="4" t="str">
        <f t="shared" si="107"/>
        <v>女</v>
      </c>
    </row>
    <row r="2554" spans="1:5" ht="30" customHeight="1">
      <c r="A2554" s="4">
        <v>2552</v>
      </c>
      <c r="B2554" s="4" t="str">
        <f>"39712022060512330089986"</f>
        <v>39712022060512330089986</v>
      </c>
      <c r="C2554" s="4" t="s">
        <v>27</v>
      </c>
      <c r="D2554" s="4" t="str">
        <f>"黄美云"</f>
        <v>黄美云</v>
      </c>
      <c r="E2554" s="4" t="str">
        <f t="shared" si="107"/>
        <v>女</v>
      </c>
    </row>
    <row r="2555" spans="1:5" ht="30" customHeight="1">
      <c r="A2555" s="4">
        <v>2553</v>
      </c>
      <c r="B2555" s="4" t="str">
        <f>"39712022060514255190120"</f>
        <v>39712022060514255190120</v>
      </c>
      <c r="C2555" s="4" t="s">
        <v>27</v>
      </c>
      <c r="D2555" s="4" t="str">
        <f>"张可欣"</f>
        <v>张可欣</v>
      </c>
      <c r="E2555" s="4" t="str">
        <f t="shared" si="107"/>
        <v>女</v>
      </c>
    </row>
    <row r="2556" spans="1:5" ht="30" customHeight="1">
      <c r="A2556" s="4">
        <v>2554</v>
      </c>
      <c r="B2556" s="4" t="str">
        <f>"39712022060515282490194"</f>
        <v>39712022060515282490194</v>
      </c>
      <c r="C2556" s="4" t="s">
        <v>27</v>
      </c>
      <c r="D2556" s="4" t="str">
        <f>"李媛媛"</f>
        <v>李媛媛</v>
      </c>
      <c r="E2556" s="4" t="str">
        <f t="shared" si="107"/>
        <v>女</v>
      </c>
    </row>
    <row r="2557" spans="1:5" ht="30" customHeight="1">
      <c r="A2557" s="4">
        <v>2555</v>
      </c>
      <c r="B2557" s="4" t="str">
        <f>"39712022060515472490216"</f>
        <v>39712022060515472490216</v>
      </c>
      <c r="C2557" s="4" t="s">
        <v>27</v>
      </c>
      <c r="D2557" s="4" t="str">
        <f>"关远琴"</f>
        <v>关远琴</v>
      </c>
      <c r="E2557" s="4" t="str">
        <f t="shared" si="107"/>
        <v>女</v>
      </c>
    </row>
    <row r="2558" spans="1:5" ht="30" customHeight="1">
      <c r="A2558" s="4">
        <v>2556</v>
      </c>
      <c r="B2558" s="4" t="str">
        <f>"39712022060515475090217"</f>
        <v>39712022060515475090217</v>
      </c>
      <c r="C2558" s="4" t="s">
        <v>27</v>
      </c>
      <c r="D2558" s="4" t="str">
        <f>"戴榕"</f>
        <v>戴榕</v>
      </c>
      <c r="E2558" s="4" t="str">
        <f t="shared" si="107"/>
        <v>女</v>
      </c>
    </row>
    <row r="2559" spans="1:5" ht="30" customHeight="1">
      <c r="A2559" s="4">
        <v>2557</v>
      </c>
      <c r="B2559" s="4" t="str">
        <f>"39712022060516025190233"</f>
        <v>39712022060516025190233</v>
      </c>
      <c r="C2559" s="4" t="s">
        <v>27</v>
      </c>
      <c r="D2559" s="4" t="str">
        <f>"黄曦葶"</f>
        <v>黄曦葶</v>
      </c>
      <c r="E2559" s="4" t="str">
        <f t="shared" si="107"/>
        <v>女</v>
      </c>
    </row>
    <row r="2560" spans="1:5" ht="30" customHeight="1">
      <c r="A2560" s="4">
        <v>2558</v>
      </c>
      <c r="B2560" s="4" t="str">
        <f>"39712022060516064590236"</f>
        <v>39712022060516064590236</v>
      </c>
      <c r="C2560" s="4" t="s">
        <v>27</v>
      </c>
      <c r="D2560" s="4" t="str">
        <f>"黄曼虹"</f>
        <v>黄曼虹</v>
      </c>
      <c r="E2560" s="4" t="str">
        <f t="shared" si="107"/>
        <v>女</v>
      </c>
    </row>
    <row r="2561" spans="1:5" ht="30" customHeight="1">
      <c r="A2561" s="4">
        <v>2559</v>
      </c>
      <c r="B2561" s="4" t="str">
        <f>"39712022060516074090241"</f>
        <v>39712022060516074090241</v>
      </c>
      <c r="C2561" s="4" t="s">
        <v>27</v>
      </c>
      <c r="D2561" s="4" t="str">
        <f>"符以娜"</f>
        <v>符以娜</v>
      </c>
      <c r="E2561" s="4" t="str">
        <f t="shared" si="107"/>
        <v>女</v>
      </c>
    </row>
    <row r="2562" spans="1:5" ht="30" customHeight="1">
      <c r="A2562" s="4">
        <v>2560</v>
      </c>
      <c r="B2562" s="4" t="str">
        <f>"39712022060516123590247"</f>
        <v>39712022060516123590247</v>
      </c>
      <c r="C2562" s="4" t="s">
        <v>27</v>
      </c>
      <c r="D2562" s="4" t="str">
        <f>"陈怡洁"</f>
        <v>陈怡洁</v>
      </c>
      <c r="E2562" s="4" t="str">
        <f t="shared" si="107"/>
        <v>女</v>
      </c>
    </row>
    <row r="2563" spans="1:5" ht="30" customHeight="1">
      <c r="A2563" s="4">
        <v>2561</v>
      </c>
      <c r="B2563" s="4" t="str">
        <f>"39712022060517245390368"</f>
        <v>39712022060517245390368</v>
      </c>
      <c r="C2563" s="4" t="s">
        <v>27</v>
      </c>
      <c r="D2563" s="4" t="str">
        <f>"周敏"</f>
        <v>周敏</v>
      </c>
      <c r="E2563" s="4" t="str">
        <f t="shared" si="107"/>
        <v>女</v>
      </c>
    </row>
    <row r="2564" spans="1:5" ht="30" customHeight="1">
      <c r="A2564" s="4">
        <v>2562</v>
      </c>
      <c r="B2564" s="4" t="str">
        <f>"39712022060517262790370"</f>
        <v>39712022060517262790370</v>
      </c>
      <c r="C2564" s="4" t="s">
        <v>27</v>
      </c>
      <c r="D2564" s="4" t="str">
        <f>"徐丽丽"</f>
        <v>徐丽丽</v>
      </c>
      <c r="E2564" s="4" t="str">
        <f t="shared" si="107"/>
        <v>女</v>
      </c>
    </row>
    <row r="2565" spans="1:5" ht="30" customHeight="1">
      <c r="A2565" s="4">
        <v>2563</v>
      </c>
      <c r="B2565" s="4" t="str">
        <f>"39712022060518054690420"</f>
        <v>39712022060518054690420</v>
      </c>
      <c r="C2565" s="4" t="s">
        <v>27</v>
      </c>
      <c r="D2565" s="4" t="str">
        <f>"卢夏丹"</f>
        <v>卢夏丹</v>
      </c>
      <c r="E2565" s="4" t="str">
        <f t="shared" si="107"/>
        <v>女</v>
      </c>
    </row>
    <row r="2566" spans="1:5" ht="30" customHeight="1">
      <c r="A2566" s="4">
        <v>2564</v>
      </c>
      <c r="B2566" s="4" t="str">
        <f>"39712022060518090590426"</f>
        <v>39712022060518090590426</v>
      </c>
      <c r="C2566" s="4" t="s">
        <v>27</v>
      </c>
      <c r="D2566" s="4" t="str">
        <f>"王小妹"</f>
        <v>王小妹</v>
      </c>
      <c r="E2566" s="4" t="str">
        <f t="shared" si="107"/>
        <v>女</v>
      </c>
    </row>
    <row r="2567" spans="1:5" ht="30" customHeight="1">
      <c r="A2567" s="4">
        <v>2565</v>
      </c>
      <c r="B2567" s="4" t="str">
        <f>"39712022060518331290454"</f>
        <v>39712022060518331290454</v>
      </c>
      <c r="C2567" s="4" t="s">
        <v>27</v>
      </c>
      <c r="D2567" s="4" t="str">
        <f>"符晓琳"</f>
        <v>符晓琳</v>
      </c>
      <c r="E2567" s="4" t="str">
        <f>"女"</f>
        <v>女</v>
      </c>
    </row>
    <row r="2568" spans="1:5" ht="30" customHeight="1">
      <c r="A2568" s="4">
        <v>2566</v>
      </c>
      <c r="B2568" s="4" t="str">
        <f>"39712022060518332190455"</f>
        <v>39712022060518332190455</v>
      </c>
      <c r="C2568" s="4" t="s">
        <v>27</v>
      </c>
      <c r="D2568" s="4" t="str">
        <f>"王梦依"</f>
        <v>王梦依</v>
      </c>
      <c r="E2568" s="4" t="str">
        <f>"女"</f>
        <v>女</v>
      </c>
    </row>
    <row r="2569" spans="1:5" ht="30" customHeight="1">
      <c r="A2569" s="4">
        <v>2567</v>
      </c>
      <c r="B2569" s="4" t="str">
        <f>"39712022060518434590468"</f>
        <v>39712022060518434590468</v>
      </c>
      <c r="C2569" s="4" t="s">
        <v>27</v>
      </c>
      <c r="D2569" s="4" t="str">
        <f>"杨钰琦"</f>
        <v>杨钰琦</v>
      </c>
      <c r="E2569" s="4" t="str">
        <f>"女"</f>
        <v>女</v>
      </c>
    </row>
    <row r="2570" spans="1:5" ht="30" customHeight="1">
      <c r="A2570" s="4">
        <v>2568</v>
      </c>
      <c r="B2570" s="4" t="str">
        <f>"39712022060519100290500"</f>
        <v>39712022060519100290500</v>
      </c>
      <c r="C2570" s="4" t="s">
        <v>27</v>
      </c>
      <c r="D2570" s="4" t="str">
        <f>"邢福锦"</f>
        <v>邢福锦</v>
      </c>
      <c r="E2570" s="4" t="str">
        <f>"女"</f>
        <v>女</v>
      </c>
    </row>
    <row r="2571" spans="1:5" ht="30" customHeight="1">
      <c r="A2571" s="4">
        <v>2569</v>
      </c>
      <c r="B2571" s="4" t="str">
        <f>"39712022060519183290512"</f>
        <v>39712022060519183290512</v>
      </c>
      <c r="C2571" s="4" t="s">
        <v>27</v>
      </c>
      <c r="D2571" s="4" t="str">
        <f>"陈壮"</f>
        <v>陈壮</v>
      </c>
      <c r="E2571" s="4" t="str">
        <f>"男"</f>
        <v>男</v>
      </c>
    </row>
    <row r="2572" spans="1:5" ht="30" customHeight="1">
      <c r="A2572" s="4">
        <v>2570</v>
      </c>
      <c r="B2572" s="4" t="str">
        <f>"39712022060519255090522"</f>
        <v>39712022060519255090522</v>
      </c>
      <c r="C2572" s="4" t="s">
        <v>27</v>
      </c>
      <c r="D2572" s="4" t="str">
        <f>"李如玉"</f>
        <v>李如玉</v>
      </c>
      <c r="E2572" s="4" t="str">
        <f aca="true" t="shared" si="108" ref="E2572:E2625">"女"</f>
        <v>女</v>
      </c>
    </row>
    <row r="2573" spans="1:5" ht="30" customHeight="1">
      <c r="A2573" s="4">
        <v>2571</v>
      </c>
      <c r="B2573" s="4" t="str">
        <f>"39712022060519312390530"</f>
        <v>39712022060519312390530</v>
      </c>
      <c r="C2573" s="4" t="s">
        <v>27</v>
      </c>
      <c r="D2573" s="4" t="str">
        <f>"徐志萍"</f>
        <v>徐志萍</v>
      </c>
      <c r="E2573" s="4" t="str">
        <f t="shared" si="108"/>
        <v>女</v>
      </c>
    </row>
    <row r="2574" spans="1:5" ht="30" customHeight="1">
      <c r="A2574" s="4">
        <v>2572</v>
      </c>
      <c r="B2574" s="4" t="str">
        <f>"39712022060519455990545"</f>
        <v>39712022060519455990545</v>
      </c>
      <c r="C2574" s="4" t="s">
        <v>27</v>
      </c>
      <c r="D2574" s="4" t="str">
        <f>"何姝娴"</f>
        <v>何姝娴</v>
      </c>
      <c r="E2574" s="4" t="str">
        <f t="shared" si="108"/>
        <v>女</v>
      </c>
    </row>
    <row r="2575" spans="1:5" ht="30" customHeight="1">
      <c r="A2575" s="4">
        <v>2573</v>
      </c>
      <c r="B2575" s="4" t="str">
        <f>"39712022060520264490606"</f>
        <v>39712022060520264490606</v>
      </c>
      <c r="C2575" s="4" t="s">
        <v>27</v>
      </c>
      <c r="D2575" s="4" t="str">
        <f>"李扬雯"</f>
        <v>李扬雯</v>
      </c>
      <c r="E2575" s="4" t="str">
        <f t="shared" si="108"/>
        <v>女</v>
      </c>
    </row>
    <row r="2576" spans="1:5" ht="30" customHeight="1">
      <c r="A2576" s="4">
        <v>2574</v>
      </c>
      <c r="B2576" s="4" t="str">
        <f>"39712022060520365090618"</f>
        <v>39712022060520365090618</v>
      </c>
      <c r="C2576" s="4" t="s">
        <v>27</v>
      </c>
      <c r="D2576" s="4" t="str">
        <f>"陈俏嫔"</f>
        <v>陈俏嫔</v>
      </c>
      <c r="E2576" s="4" t="str">
        <f t="shared" si="108"/>
        <v>女</v>
      </c>
    </row>
    <row r="2577" spans="1:5" ht="30" customHeight="1">
      <c r="A2577" s="4">
        <v>2575</v>
      </c>
      <c r="B2577" s="4" t="str">
        <f>"39712022060520501790628"</f>
        <v>39712022060520501790628</v>
      </c>
      <c r="C2577" s="4" t="s">
        <v>27</v>
      </c>
      <c r="D2577" s="4" t="str">
        <f>"沈洋洋"</f>
        <v>沈洋洋</v>
      </c>
      <c r="E2577" s="4" t="str">
        <f t="shared" si="108"/>
        <v>女</v>
      </c>
    </row>
    <row r="2578" spans="1:5" ht="30" customHeight="1">
      <c r="A2578" s="4">
        <v>2576</v>
      </c>
      <c r="B2578" s="4" t="str">
        <f>"39712022060520502890629"</f>
        <v>39712022060520502890629</v>
      </c>
      <c r="C2578" s="4" t="s">
        <v>27</v>
      </c>
      <c r="D2578" s="4" t="str">
        <f>"杨鸿婷"</f>
        <v>杨鸿婷</v>
      </c>
      <c r="E2578" s="4" t="str">
        <f t="shared" si="108"/>
        <v>女</v>
      </c>
    </row>
    <row r="2579" spans="1:5" ht="30" customHeight="1">
      <c r="A2579" s="4">
        <v>2577</v>
      </c>
      <c r="B2579" s="4" t="str">
        <f>"39712022060521133390660"</f>
        <v>39712022060521133390660</v>
      </c>
      <c r="C2579" s="4" t="s">
        <v>27</v>
      </c>
      <c r="D2579" s="4" t="str">
        <f>"谢荟敏"</f>
        <v>谢荟敏</v>
      </c>
      <c r="E2579" s="4" t="str">
        <f t="shared" si="108"/>
        <v>女</v>
      </c>
    </row>
    <row r="2580" spans="1:5" ht="30" customHeight="1">
      <c r="A2580" s="4">
        <v>2578</v>
      </c>
      <c r="B2580" s="4" t="str">
        <f>"39712022060521224790751"</f>
        <v>39712022060521224790751</v>
      </c>
      <c r="C2580" s="4" t="s">
        <v>27</v>
      </c>
      <c r="D2580" s="4" t="str">
        <f>"陈慧"</f>
        <v>陈慧</v>
      </c>
      <c r="E2580" s="4" t="str">
        <f t="shared" si="108"/>
        <v>女</v>
      </c>
    </row>
    <row r="2581" spans="1:5" ht="30" customHeight="1">
      <c r="A2581" s="4">
        <v>2579</v>
      </c>
      <c r="B2581" s="4" t="str">
        <f>"39712022060521312390765"</f>
        <v>39712022060521312390765</v>
      </c>
      <c r="C2581" s="4" t="s">
        <v>27</v>
      </c>
      <c r="D2581" s="4" t="str">
        <f>"符吉童"</f>
        <v>符吉童</v>
      </c>
      <c r="E2581" s="4" t="str">
        <f t="shared" si="108"/>
        <v>女</v>
      </c>
    </row>
    <row r="2582" spans="1:5" ht="30" customHeight="1">
      <c r="A2582" s="4">
        <v>2580</v>
      </c>
      <c r="B2582" s="4" t="str">
        <f>"39712022060521330990770"</f>
        <v>39712022060521330990770</v>
      </c>
      <c r="C2582" s="4" t="s">
        <v>27</v>
      </c>
      <c r="D2582" s="4" t="str">
        <f>"黄茹"</f>
        <v>黄茹</v>
      </c>
      <c r="E2582" s="4" t="str">
        <f t="shared" si="108"/>
        <v>女</v>
      </c>
    </row>
    <row r="2583" spans="1:5" ht="30" customHeight="1">
      <c r="A2583" s="4">
        <v>2581</v>
      </c>
      <c r="B2583" s="4" t="str">
        <f>"39712022060521364090778"</f>
        <v>39712022060521364090778</v>
      </c>
      <c r="C2583" s="4" t="s">
        <v>27</v>
      </c>
      <c r="D2583" s="4" t="str">
        <f>"符慧琴"</f>
        <v>符慧琴</v>
      </c>
      <c r="E2583" s="4" t="str">
        <f t="shared" si="108"/>
        <v>女</v>
      </c>
    </row>
    <row r="2584" spans="1:5" ht="30" customHeight="1">
      <c r="A2584" s="4">
        <v>2582</v>
      </c>
      <c r="B2584" s="4" t="str">
        <f>"39712022060521561590810"</f>
        <v>39712022060521561590810</v>
      </c>
      <c r="C2584" s="4" t="s">
        <v>27</v>
      </c>
      <c r="D2584" s="4" t="str">
        <f>"陈有将"</f>
        <v>陈有将</v>
      </c>
      <c r="E2584" s="4" t="str">
        <f t="shared" si="108"/>
        <v>女</v>
      </c>
    </row>
    <row r="2585" spans="1:5" ht="30" customHeight="1">
      <c r="A2585" s="4">
        <v>2583</v>
      </c>
      <c r="B2585" s="4" t="str">
        <f>"39712022060522014290818"</f>
        <v>39712022060522014290818</v>
      </c>
      <c r="C2585" s="4" t="s">
        <v>27</v>
      </c>
      <c r="D2585" s="4" t="str">
        <f>"邱朝娴"</f>
        <v>邱朝娴</v>
      </c>
      <c r="E2585" s="4" t="str">
        <f t="shared" si="108"/>
        <v>女</v>
      </c>
    </row>
    <row r="2586" spans="1:5" ht="30" customHeight="1">
      <c r="A2586" s="4">
        <v>2584</v>
      </c>
      <c r="B2586" s="4" t="str">
        <f>"39712022060522144890835"</f>
        <v>39712022060522144890835</v>
      </c>
      <c r="C2586" s="4" t="s">
        <v>27</v>
      </c>
      <c r="D2586" s="4" t="str">
        <f>"王海玲"</f>
        <v>王海玲</v>
      </c>
      <c r="E2586" s="4" t="str">
        <f t="shared" si="108"/>
        <v>女</v>
      </c>
    </row>
    <row r="2587" spans="1:5" ht="30" customHeight="1">
      <c r="A2587" s="4">
        <v>2585</v>
      </c>
      <c r="B2587" s="4" t="str">
        <f>"39712022060522210690847"</f>
        <v>39712022060522210690847</v>
      </c>
      <c r="C2587" s="4" t="s">
        <v>27</v>
      </c>
      <c r="D2587" s="4" t="str">
        <f>"蒋小介"</f>
        <v>蒋小介</v>
      </c>
      <c r="E2587" s="4" t="str">
        <f t="shared" si="108"/>
        <v>女</v>
      </c>
    </row>
    <row r="2588" spans="1:5" ht="30" customHeight="1">
      <c r="A2588" s="4">
        <v>2586</v>
      </c>
      <c r="B2588" s="4" t="str">
        <f>"39712022060522391490884"</f>
        <v>39712022060522391490884</v>
      </c>
      <c r="C2588" s="4" t="s">
        <v>27</v>
      </c>
      <c r="D2588" s="4" t="str">
        <f>"何乾女"</f>
        <v>何乾女</v>
      </c>
      <c r="E2588" s="4" t="str">
        <f t="shared" si="108"/>
        <v>女</v>
      </c>
    </row>
    <row r="2589" spans="1:5" ht="30" customHeight="1">
      <c r="A2589" s="4">
        <v>2587</v>
      </c>
      <c r="B2589" s="4" t="str">
        <f>"39712022060522532990905"</f>
        <v>39712022060522532990905</v>
      </c>
      <c r="C2589" s="4" t="s">
        <v>27</v>
      </c>
      <c r="D2589" s="4" t="str">
        <f>"温淑汝"</f>
        <v>温淑汝</v>
      </c>
      <c r="E2589" s="4" t="str">
        <f t="shared" si="108"/>
        <v>女</v>
      </c>
    </row>
    <row r="2590" spans="1:5" ht="30" customHeight="1">
      <c r="A2590" s="4">
        <v>2588</v>
      </c>
      <c r="B2590" s="4" t="str">
        <f>"39712022060522581490911"</f>
        <v>39712022060522581490911</v>
      </c>
      <c r="C2590" s="4" t="s">
        <v>27</v>
      </c>
      <c r="D2590" s="4" t="str">
        <f>"吴少芳"</f>
        <v>吴少芳</v>
      </c>
      <c r="E2590" s="4" t="str">
        <f t="shared" si="108"/>
        <v>女</v>
      </c>
    </row>
    <row r="2591" spans="1:5" ht="30" customHeight="1">
      <c r="A2591" s="4">
        <v>2589</v>
      </c>
      <c r="B2591" s="4" t="str">
        <f>"39712022060522592390913"</f>
        <v>39712022060522592390913</v>
      </c>
      <c r="C2591" s="4" t="s">
        <v>27</v>
      </c>
      <c r="D2591" s="4" t="str">
        <f>"杨清晏"</f>
        <v>杨清晏</v>
      </c>
      <c r="E2591" s="4" t="str">
        <f t="shared" si="108"/>
        <v>女</v>
      </c>
    </row>
    <row r="2592" spans="1:5" ht="30" customHeight="1">
      <c r="A2592" s="4">
        <v>2590</v>
      </c>
      <c r="B2592" s="4" t="str">
        <f>"39712022060523240290945"</f>
        <v>39712022060523240290945</v>
      </c>
      <c r="C2592" s="4" t="s">
        <v>27</v>
      </c>
      <c r="D2592" s="4" t="str">
        <f>"符英梅"</f>
        <v>符英梅</v>
      </c>
      <c r="E2592" s="4" t="str">
        <f t="shared" si="108"/>
        <v>女</v>
      </c>
    </row>
    <row r="2593" spans="1:5" ht="30" customHeight="1">
      <c r="A2593" s="4">
        <v>2591</v>
      </c>
      <c r="B2593" s="4" t="str">
        <f>"39712022060523310790953"</f>
        <v>39712022060523310790953</v>
      </c>
      <c r="C2593" s="4" t="s">
        <v>27</v>
      </c>
      <c r="D2593" s="4" t="str">
        <f>"李妮"</f>
        <v>李妮</v>
      </c>
      <c r="E2593" s="4" t="str">
        <f t="shared" si="108"/>
        <v>女</v>
      </c>
    </row>
    <row r="2594" spans="1:5" ht="30" customHeight="1">
      <c r="A2594" s="4">
        <v>2592</v>
      </c>
      <c r="B2594" s="4" t="str">
        <f>"39712022060523312590954"</f>
        <v>39712022060523312590954</v>
      </c>
      <c r="C2594" s="4" t="s">
        <v>27</v>
      </c>
      <c r="D2594" s="4" t="str">
        <f>"王婷"</f>
        <v>王婷</v>
      </c>
      <c r="E2594" s="4" t="str">
        <f t="shared" si="108"/>
        <v>女</v>
      </c>
    </row>
    <row r="2595" spans="1:5" ht="30" customHeight="1">
      <c r="A2595" s="4">
        <v>2593</v>
      </c>
      <c r="B2595" s="4" t="str">
        <f>"39712022060523370390960"</f>
        <v>39712022060523370390960</v>
      </c>
      <c r="C2595" s="4" t="s">
        <v>27</v>
      </c>
      <c r="D2595" s="4" t="str">
        <f>"林红余"</f>
        <v>林红余</v>
      </c>
      <c r="E2595" s="4" t="str">
        <f t="shared" si="108"/>
        <v>女</v>
      </c>
    </row>
    <row r="2596" spans="1:5" ht="30" customHeight="1">
      <c r="A2596" s="4">
        <v>2594</v>
      </c>
      <c r="B2596" s="4" t="str">
        <f>"39712022060523583490983"</f>
        <v>39712022060523583490983</v>
      </c>
      <c r="C2596" s="4" t="s">
        <v>27</v>
      </c>
      <c r="D2596" s="4" t="str">
        <f>"李玉民"</f>
        <v>李玉民</v>
      </c>
      <c r="E2596" s="4" t="str">
        <f t="shared" si="108"/>
        <v>女</v>
      </c>
    </row>
    <row r="2597" spans="1:5" ht="30" customHeight="1">
      <c r="A2597" s="4">
        <v>2595</v>
      </c>
      <c r="B2597" s="4" t="str">
        <f>"39712022060600503691006"</f>
        <v>39712022060600503691006</v>
      </c>
      <c r="C2597" s="4" t="s">
        <v>27</v>
      </c>
      <c r="D2597" s="4" t="str">
        <f>"谭静"</f>
        <v>谭静</v>
      </c>
      <c r="E2597" s="4" t="str">
        <f t="shared" si="108"/>
        <v>女</v>
      </c>
    </row>
    <row r="2598" spans="1:5" ht="30" customHeight="1">
      <c r="A2598" s="4">
        <v>2596</v>
      </c>
      <c r="B2598" s="4" t="str">
        <f>"39712022060600531491008"</f>
        <v>39712022060600531491008</v>
      </c>
      <c r="C2598" s="4" t="s">
        <v>27</v>
      </c>
      <c r="D2598" s="4" t="str">
        <f>"陈雅"</f>
        <v>陈雅</v>
      </c>
      <c r="E2598" s="4" t="str">
        <f t="shared" si="108"/>
        <v>女</v>
      </c>
    </row>
    <row r="2599" spans="1:5" ht="30" customHeight="1">
      <c r="A2599" s="4">
        <v>2597</v>
      </c>
      <c r="B2599" s="4" t="str">
        <f>"39712022060608240291096"</f>
        <v>39712022060608240291096</v>
      </c>
      <c r="C2599" s="4" t="s">
        <v>27</v>
      </c>
      <c r="D2599" s="4" t="str">
        <f>"陈冰"</f>
        <v>陈冰</v>
      </c>
      <c r="E2599" s="4" t="str">
        <f t="shared" si="108"/>
        <v>女</v>
      </c>
    </row>
    <row r="2600" spans="1:5" ht="30" customHeight="1">
      <c r="A2600" s="4">
        <v>2598</v>
      </c>
      <c r="B2600" s="4" t="str">
        <f>"39712022060608342391110"</f>
        <v>39712022060608342391110</v>
      </c>
      <c r="C2600" s="4" t="s">
        <v>27</v>
      </c>
      <c r="D2600" s="4" t="str">
        <f>"王芳"</f>
        <v>王芳</v>
      </c>
      <c r="E2600" s="4" t="str">
        <f t="shared" si="108"/>
        <v>女</v>
      </c>
    </row>
    <row r="2601" spans="1:5" ht="30" customHeight="1">
      <c r="A2601" s="4">
        <v>2599</v>
      </c>
      <c r="B2601" s="4" t="str">
        <f>"39712022060608375491121"</f>
        <v>39712022060608375491121</v>
      </c>
      <c r="C2601" s="4" t="s">
        <v>27</v>
      </c>
      <c r="D2601" s="4" t="str">
        <f>"刘淑娟"</f>
        <v>刘淑娟</v>
      </c>
      <c r="E2601" s="4" t="str">
        <f t="shared" si="108"/>
        <v>女</v>
      </c>
    </row>
    <row r="2602" spans="1:5" ht="30" customHeight="1">
      <c r="A2602" s="4">
        <v>2600</v>
      </c>
      <c r="B2602" s="4" t="str">
        <f>"39712022060608381291122"</f>
        <v>39712022060608381291122</v>
      </c>
      <c r="C2602" s="4" t="s">
        <v>27</v>
      </c>
      <c r="D2602" s="4" t="str">
        <f>"邱丽霞"</f>
        <v>邱丽霞</v>
      </c>
      <c r="E2602" s="4" t="str">
        <f t="shared" si="108"/>
        <v>女</v>
      </c>
    </row>
    <row r="2603" spans="1:5" ht="30" customHeight="1">
      <c r="A2603" s="4">
        <v>2601</v>
      </c>
      <c r="B2603" s="4" t="str">
        <f>"39712022060608412291125"</f>
        <v>39712022060608412291125</v>
      </c>
      <c r="C2603" s="4" t="s">
        <v>27</v>
      </c>
      <c r="D2603" s="4" t="str">
        <f>"邢雪喜"</f>
        <v>邢雪喜</v>
      </c>
      <c r="E2603" s="4" t="str">
        <f t="shared" si="108"/>
        <v>女</v>
      </c>
    </row>
    <row r="2604" spans="1:5" ht="30" customHeight="1">
      <c r="A2604" s="4">
        <v>2602</v>
      </c>
      <c r="B2604" s="4" t="str">
        <f>"39712022060608580391166"</f>
        <v>39712022060608580391166</v>
      </c>
      <c r="C2604" s="4" t="s">
        <v>27</v>
      </c>
      <c r="D2604" s="4" t="str">
        <f>"韦娜"</f>
        <v>韦娜</v>
      </c>
      <c r="E2604" s="4" t="str">
        <f t="shared" si="108"/>
        <v>女</v>
      </c>
    </row>
    <row r="2605" spans="1:5" ht="30" customHeight="1">
      <c r="A2605" s="4">
        <v>2603</v>
      </c>
      <c r="B2605" s="4" t="str">
        <f>"39712022060609280692292"</f>
        <v>39712022060609280692292</v>
      </c>
      <c r="C2605" s="4" t="s">
        <v>27</v>
      </c>
      <c r="D2605" s="4" t="str">
        <f>"陈心烨"</f>
        <v>陈心烨</v>
      </c>
      <c r="E2605" s="4" t="str">
        <f t="shared" si="108"/>
        <v>女</v>
      </c>
    </row>
    <row r="2606" spans="1:5" ht="30" customHeight="1">
      <c r="A2606" s="4">
        <v>2604</v>
      </c>
      <c r="B2606" s="4" t="str">
        <f>"39712022060609282292299"</f>
        <v>39712022060609282292299</v>
      </c>
      <c r="C2606" s="4" t="s">
        <v>27</v>
      </c>
      <c r="D2606" s="4" t="str">
        <f>"林文雅"</f>
        <v>林文雅</v>
      </c>
      <c r="E2606" s="4" t="str">
        <f t="shared" si="108"/>
        <v>女</v>
      </c>
    </row>
    <row r="2607" spans="1:5" ht="30" customHeight="1">
      <c r="A2607" s="4">
        <v>2605</v>
      </c>
      <c r="B2607" s="4" t="str">
        <f>"39712022060609334092456"</f>
        <v>39712022060609334092456</v>
      </c>
      <c r="C2607" s="4" t="s">
        <v>27</v>
      </c>
      <c r="D2607" s="4" t="str">
        <f>"许倩媛"</f>
        <v>许倩媛</v>
      </c>
      <c r="E2607" s="4" t="str">
        <f t="shared" si="108"/>
        <v>女</v>
      </c>
    </row>
    <row r="2608" spans="1:5" ht="30" customHeight="1">
      <c r="A2608" s="4">
        <v>2606</v>
      </c>
      <c r="B2608" s="4" t="str">
        <f>"39712022060609421692686"</f>
        <v>39712022060609421692686</v>
      </c>
      <c r="C2608" s="4" t="s">
        <v>27</v>
      </c>
      <c r="D2608" s="4" t="str">
        <f>"陈梦溪"</f>
        <v>陈梦溪</v>
      </c>
      <c r="E2608" s="4" t="str">
        <f t="shared" si="108"/>
        <v>女</v>
      </c>
    </row>
    <row r="2609" spans="1:5" ht="30" customHeight="1">
      <c r="A2609" s="4">
        <v>2607</v>
      </c>
      <c r="B2609" s="4" t="str">
        <f>"39712022060609422992695"</f>
        <v>39712022060609422992695</v>
      </c>
      <c r="C2609" s="4" t="s">
        <v>27</v>
      </c>
      <c r="D2609" s="4" t="str">
        <f>"欧路芳"</f>
        <v>欧路芳</v>
      </c>
      <c r="E2609" s="4" t="str">
        <f t="shared" si="108"/>
        <v>女</v>
      </c>
    </row>
    <row r="2610" spans="1:5" ht="30" customHeight="1">
      <c r="A2610" s="4">
        <v>2608</v>
      </c>
      <c r="B2610" s="4" t="str">
        <f>"39712022060609480792850"</f>
        <v>39712022060609480792850</v>
      </c>
      <c r="C2610" s="4" t="s">
        <v>27</v>
      </c>
      <c r="D2610" s="4" t="str">
        <f>"吴淑君"</f>
        <v>吴淑君</v>
      </c>
      <c r="E2610" s="4" t="str">
        <f t="shared" si="108"/>
        <v>女</v>
      </c>
    </row>
    <row r="2611" spans="1:5" ht="30" customHeight="1">
      <c r="A2611" s="4">
        <v>2609</v>
      </c>
      <c r="B2611" s="4" t="str">
        <f>"39712022060609533492986"</f>
        <v>39712022060609533492986</v>
      </c>
      <c r="C2611" s="4" t="s">
        <v>27</v>
      </c>
      <c r="D2611" s="4" t="str">
        <f>"邝琼容"</f>
        <v>邝琼容</v>
      </c>
      <c r="E2611" s="4" t="str">
        <f t="shared" si="108"/>
        <v>女</v>
      </c>
    </row>
    <row r="2612" spans="1:5" ht="30" customHeight="1">
      <c r="A2612" s="4">
        <v>2610</v>
      </c>
      <c r="B2612" s="4" t="str">
        <f>"39712022060610032593246"</f>
        <v>39712022060610032593246</v>
      </c>
      <c r="C2612" s="4" t="s">
        <v>27</v>
      </c>
      <c r="D2612" s="4" t="str">
        <f>"郭小花"</f>
        <v>郭小花</v>
      </c>
      <c r="E2612" s="4" t="str">
        <f t="shared" si="108"/>
        <v>女</v>
      </c>
    </row>
    <row r="2613" spans="1:5" ht="30" customHeight="1">
      <c r="A2613" s="4">
        <v>2611</v>
      </c>
      <c r="B2613" s="4" t="str">
        <f>"39712022060610170593574"</f>
        <v>39712022060610170593574</v>
      </c>
      <c r="C2613" s="4" t="s">
        <v>27</v>
      </c>
      <c r="D2613" s="4" t="str">
        <f>"符丽萍"</f>
        <v>符丽萍</v>
      </c>
      <c r="E2613" s="4" t="str">
        <f t="shared" si="108"/>
        <v>女</v>
      </c>
    </row>
    <row r="2614" spans="1:5" ht="30" customHeight="1">
      <c r="A2614" s="4">
        <v>2612</v>
      </c>
      <c r="B2614" s="4" t="str">
        <f>"39712022060610224793731"</f>
        <v>39712022060610224793731</v>
      </c>
      <c r="C2614" s="4" t="s">
        <v>27</v>
      </c>
      <c r="D2614" s="4" t="str">
        <f>"翁娇丽"</f>
        <v>翁娇丽</v>
      </c>
      <c r="E2614" s="4" t="str">
        <f t="shared" si="108"/>
        <v>女</v>
      </c>
    </row>
    <row r="2615" spans="1:5" ht="30" customHeight="1">
      <c r="A2615" s="4">
        <v>2613</v>
      </c>
      <c r="B2615" s="4" t="str">
        <f>"39712022060610245693782"</f>
        <v>39712022060610245693782</v>
      </c>
      <c r="C2615" s="4" t="s">
        <v>27</v>
      </c>
      <c r="D2615" s="4" t="str">
        <f>"陈晓娟"</f>
        <v>陈晓娟</v>
      </c>
      <c r="E2615" s="4" t="str">
        <f t="shared" si="108"/>
        <v>女</v>
      </c>
    </row>
    <row r="2616" spans="1:5" ht="30" customHeight="1">
      <c r="A2616" s="4">
        <v>2614</v>
      </c>
      <c r="B2616" s="4" t="str">
        <f>"39712022060610320393985"</f>
        <v>39712022060610320393985</v>
      </c>
      <c r="C2616" s="4" t="s">
        <v>27</v>
      </c>
      <c r="D2616" s="4" t="str">
        <f>"符巧羽"</f>
        <v>符巧羽</v>
      </c>
      <c r="E2616" s="4" t="str">
        <f t="shared" si="108"/>
        <v>女</v>
      </c>
    </row>
    <row r="2617" spans="1:5" ht="30" customHeight="1">
      <c r="A2617" s="4">
        <v>2615</v>
      </c>
      <c r="B2617" s="4" t="str">
        <f>"39712022060610445494268"</f>
        <v>39712022060610445494268</v>
      </c>
      <c r="C2617" s="4" t="s">
        <v>27</v>
      </c>
      <c r="D2617" s="4" t="str">
        <f>"吴小双"</f>
        <v>吴小双</v>
      </c>
      <c r="E2617" s="4" t="str">
        <f t="shared" si="108"/>
        <v>女</v>
      </c>
    </row>
    <row r="2618" spans="1:5" ht="30" customHeight="1">
      <c r="A2618" s="4">
        <v>2616</v>
      </c>
      <c r="B2618" s="4" t="str">
        <f>"39712022060610515694422"</f>
        <v>39712022060610515694422</v>
      </c>
      <c r="C2618" s="4" t="s">
        <v>27</v>
      </c>
      <c r="D2618" s="4" t="str">
        <f>"吴冠英"</f>
        <v>吴冠英</v>
      </c>
      <c r="E2618" s="4" t="str">
        <f t="shared" si="108"/>
        <v>女</v>
      </c>
    </row>
    <row r="2619" spans="1:5" ht="30" customHeight="1">
      <c r="A2619" s="4">
        <v>2617</v>
      </c>
      <c r="B2619" s="4" t="str">
        <f>"39712022060610551594498"</f>
        <v>39712022060610551594498</v>
      </c>
      <c r="C2619" s="4" t="s">
        <v>27</v>
      </c>
      <c r="D2619" s="4" t="str">
        <f>"曾雪"</f>
        <v>曾雪</v>
      </c>
      <c r="E2619" s="4" t="str">
        <f t="shared" si="108"/>
        <v>女</v>
      </c>
    </row>
    <row r="2620" spans="1:5" ht="30" customHeight="1">
      <c r="A2620" s="4">
        <v>2618</v>
      </c>
      <c r="B2620" s="4" t="str">
        <f>"39712022060611044894703"</f>
        <v>39712022060611044894703</v>
      </c>
      <c r="C2620" s="4" t="s">
        <v>27</v>
      </c>
      <c r="D2620" s="4" t="str">
        <f>"甘小碧"</f>
        <v>甘小碧</v>
      </c>
      <c r="E2620" s="4" t="str">
        <f t="shared" si="108"/>
        <v>女</v>
      </c>
    </row>
    <row r="2621" spans="1:5" ht="30" customHeight="1">
      <c r="A2621" s="4">
        <v>2619</v>
      </c>
      <c r="B2621" s="4" t="str">
        <f>"39712022060611065494735"</f>
        <v>39712022060611065494735</v>
      </c>
      <c r="C2621" s="4" t="s">
        <v>27</v>
      </c>
      <c r="D2621" s="4" t="str">
        <f>"廖舒敏"</f>
        <v>廖舒敏</v>
      </c>
      <c r="E2621" s="4" t="str">
        <f t="shared" si="108"/>
        <v>女</v>
      </c>
    </row>
    <row r="2622" spans="1:5" ht="30" customHeight="1">
      <c r="A2622" s="4">
        <v>2620</v>
      </c>
      <c r="B2622" s="4" t="str">
        <f>"39712022060611102694812"</f>
        <v>39712022060611102694812</v>
      </c>
      <c r="C2622" s="4" t="s">
        <v>27</v>
      </c>
      <c r="D2622" s="4" t="str">
        <f>"孙星"</f>
        <v>孙星</v>
      </c>
      <c r="E2622" s="4" t="str">
        <f t="shared" si="108"/>
        <v>女</v>
      </c>
    </row>
    <row r="2623" spans="1:5" ht="30" customHeight="1">
      <c r="A2623" s="4">
        <v>2621</v>
      </c>
      <c r="B2623" s="4" t="str">
        <f>"39712022060611144994896"</f>
        <v>39712022060611144994896</v>
      </c>
      <c r="C2623" s="4" t="s">
        <v>27</v>
      </c>
      <c r="D2623" s="4" t="str">
        <f>"陈春来"</f>
        <v>陈春来</v>
      </c>
      <c r="E2623" s="4" t="str">
        <f t="shared" si="108"/>
        <v>女</v>
      </c>
    </row>
    <row r="2624" spans="1:5" ht="30" customHeight="1">
      <c r="A2624" s="4">
        <v>2622</v>
      </c>
      <c r="B2624" s="4" t="str">
        <f>"39712022060611152294904"</f>
        <v>39712022060611152294904</v>
      </c>
      <c r="C2624" s="4" t="s">
        <v>27</v>
      </c>
      <c r="D2624" s="4" t="str">
        <f>"吴金琼"</f>
        <v>吴金琼</v>
      </c>
      <c r="E2624" s="4" t="str">
        <f t="shared" si="108"/>
        <v>女</v>
      </c>
    </row>
    <row r="2625" spans="1:5" ht="30" customHeight="1">
      <c r="A2625" s="4">
        <v>2623</v>
      </c>
      <c r="B2625" s="4" t="str">
        <f>"39712022060611272095135"</f>
        <v>39712022060611272095135</v>
      </c>
      <c r="C2625" s="4" t="s">
        <v>27</v>
      </c>
      <c r="D2625" s="4" t="str">
        <f>"瞿刚琴"</f>
        <v>瞿刚琴</v>
      </c>
      <c r="E2625" s="4" t="str">
        <f t="shared" si="108"/>
        <v>女</v>
      </c>
    </row>
    <row r="2626" spans="1:5" ht="30" customHeight="1">
      <c r="A2626" s="4">
        <v>2624</v>
      </c>
      <c r="B2626" s="4" t="str">
        <f>"39712022060611284195153"</f>
        <v>39712022060611284195153</v>
      </c>
      <c r="C2626" s="4" t="s">
        <v>27</v>
      </c>
      <c r="D2626" s="4" t="str">
        <f>"陈良才"</f>
        <v>陈良才</v>
      </c>
      <c r="E2626" s="4" t="str">
        <f>"男"</f>
        <v>男</v>
      </c>
    </row>
    <row r="2627" spans="1:5" ht="30" customHeight="1">
      <c r="A2627" s="4">
        <v>2625</v>
      </c>
      <c r="B2627" s="4" t="str">
        <f>"39712022060611303595177"</f>
        <v>39712022060611303595177</v>
      </c>
      <c r="C2627" s="4" t="s">
        <v>27</v>
      </c>
      <c r="D2627" s="4" t="str">
        <f>"冯娴恬"</f>
        <v>冯娴恬</v>
      </c>
      <c r="E2627" s="4" t="str">
        <f aca="true" t="shared" si="109" ref="E2627:E2635">"女"</f>
        <v>女</v>
      </c>
    </row>
    <row r="2628" spans="1:5" ht="30" customHeight="1">
      <c r="A2628" s="4">
        <v>2626</v>
      </c>
      <c r="B2628" s="4" t="str">
        <f>"39712022060612090495754"</f>
        <v>39712022060612090495754</v>
      </c>
      <c r="C2628" s="4" t="s">
        <v>27</v>
      </c>
      <c r="D2628" s="4" t="str">
        <f>"钱艺苑"</f>
        <v>钱艺苑</v>
      </c>
      <c r="E2628" s="4" t="str">
        <f t="shared" si="109"/>
        <v>女</v>
      </c>
    </row>
    <row r="2629" spans="1:5" ht="30" customHeight="1">
      <c r="A2629" s="4">
        <v>2627</v>
      </c>
      <c r="B2629" s="4" t="str">
        <f>"39712022060612135695802"</f>
        <v>39712022060612135695802</v>
      </c>
      <c r="C2629" s="4" t="s">
        <v>27</v>
      </c>
      <c r="D2629" s="4" t="str">
        <f>"杜秀明"</f>
        <v>杜秀明</v>
      </c>
      <c r="E2629" s="4" t="str">
        <f t="shared" si="109"/>
        <v>女</v>
      </c>
    </row>
    <row r="2630" spans="1:5" ht="30" customHeight="1">
      <c r="A2630" s="4">
        <v>2628</v>
      </c>
      <c r="B2630" s="4" t="str">
        <f>"39712022060612172495842"</f>
        <v>39712022060612172495842</v>
      </c>
      <c r="C2630" s="4" t="s">
        <v>27</v>
      </c>
      <c r="D2630" s="4" t="str">
        <f>"吴英莹"</f>
        <v>吴英莹</v>
      </c>
      <c r="E2630" s="4" t="str">
        <f t="shared" si="109"/>
        <v>女</v>
      </c>
    </row>
    <row r="2631" spans="1:5" ht="30" customHeight="1">
      <c r="A2631" s="4">
        <v>2629</v>
      </c>
      <c r="B2631" s="4" t="str">
        <f>"39712022060612302196017"</f>
        <v>39712022060612302196017</v>
      </c>
      <c r="C2631" s="4" t="s">
        <v>27</v>
      </c>
      <c r="D2631" s="4" t="str">
        <f>"王丽玲"</f>
        <v>王丽玲</v>
      </c>
      <c r="E2631" s="4" t="str">
        <f t="shared" si="109"/>
        <v>女</v>
      </c>
    </row>
    <row r="2632" spans="1:5" ht="30" customHeight="1">
      <c r="A2632" s="4">
        <v>2630</v>
      </c>
      <c r="B2632" s="4" t="str">
        <f>"39712022060612370996094"</f>
        <v>39712022060612370996094</v>
      </c>
      <c r="C2632" s="4" t="s">
        <v>27</v>
      </c>
      <c r="D2632" s="4" t="str">
        <f>"黎姑"</f>
        <v>黎姑</v>
      </c>
      <c r="E2632" s="4" t="str">
        <f t="shared" si="109"/>
        <v>女</v>
      </c>
    </row>
    <row r="2633" spans="1:5" ht="30" customHeight="1">
      <c r="A2633" s="4">
        <v>2631</v>
      </c>
      <c r="B2633" s="4" t="str">
        <f>"39712022060612494596238"</f>
        <v>39712022060612494596238</v>
      </c>
      <c r="C2633" s="4" t="s">
        <v>27</v>
      </c>
      <c r="D2633" s="4" t="str">
        <f>"文寒欢"</f>
        <v>文寒欢</v>
      </c>
      <c r="E2633" s="4" t="str">
        <f t="shared" si="109"/>
        <v>女</v>
      </c>
    </row>
    <row r="2634" spans="1:5" ht="30" customHeight="1">
      <c r="A2634" s="4">
        <v>2632</v>
      </c>
      <c r="B2634" s="4" t="str">
        <f>"39712022060612542996281"</f>
        <v>39712022060612542996281</v>
      </c>
      <c r="C2634" s="4" t="s">
        <v>27</v>
      </c>
      <c r="D2634" s="4" t="str">
        <f>"郑君"</f>
        <v>郑君</v>
      </c>
      <c r="E2634" s="4" t="str">
        <f t="shared" si="109"/>
        <v>女</v>
      </c>
    </row>
    <row r="2635" spans="1:5" ht="30" customHeight="1">
      <c r="A2635" s="4">
        <v>2633</v>
      </c>
      <c r="B2635" s="4" t="str">
        <f>"39712022060613061896394"</f>
        <v>39712022060613061896394</v>
      </c>
      <c r="C2635" s="4" t="s">
        <v>27</v>
      </c>
      <c r="D2635" s="4" t="str">
        <f>"黄必震"</f>
        <v>黄必震</v>
      </c>
      <c r="E2635" s="4" t="str">
        <f t="shared" si="109"/>
        <v>女</v>
      </c>
    </row>
    <row r="2636" spans="1:5" ht="30" customHeight="1">
      <c r="A2636" s="4">
        <v>2634</v>
      </c>
      <c r="B2636" s="4" t="str">
        <f>"39712022060613085296422"</f>
        <v>39712022060613085296422</v>
      </c>
      <c r="C2636" s="4" t="s">
        <v>27</v>
      </c>
      <c r="D2636" s="4" t="str">
        <f>"王萃逢"</f>
        <v>王萃逢</v>
      </c>
      <c r="E2636" s="4" t="str">
        <f>"男"</f>
        <v>男</v>
      </c>
    </row>
    <row r="2637" spans="1:5" ht="30" customHeight="1">
      <c r="A2637" s="4">
        <v>2635</v>
      </c>
      <c r="B2637" s="4" t="str">
        <f>"39712022060613094196435"</f>
        <v>39712022060613094196435</v>
      </c>
      <c r="C2637" s="4" t="s">
        <v>27</v>
      </c>
      <c r="D2637" s="4" t="str">
        <f>"吴英蓉"</f>
        <v>吴英蓉</v>
      </c>
      <c r="E2637" s="4" t="str">
        <f aca="true" t="shared" si="110" ref="E2637:E2700">"女"</f>
        <v>女</v>
      </c>
    </row>
    <row r="2638" spans="1:5" ht="30" customHeight="1">
      <c r="A2638" s="4">
        <v>2636</v>
      </c>
      <c r="B2638" s="4" t="str">
        <f>"39712022060613095096437"</f>
        <v>39712022060613095096437</v>
      </c>
      <c r="C2638" s="4" t="s">
        <v>27</v>
      </c>
      <c r="D2638" s="4" t="str">
        <f>"云玲茜"</f>
        <v>云玲茜</v>
      </c>
      <c r="E2638" s="4" t="str">
        <f t="shared" si="110"/>
        <v>女</v>
      </c>
    </row>
    <row r="2639" spans="1:5" ht="30" customHeight="1">
      <c r="A2639" s="4">
        <v>2637</v>
      </c>
      <c r="B2639" s="4" t="str">
        <f>"39712022060613203596534"</f>
        <v>39712022060613203596534</v>
      </c>
      <c r="C2639" s="4" t="s">
        <v>27</v>
      </c>
      <c r="D2639" s="4" t="str">
        <f>"颜海娜"</f>
        <v>颜海娜</v>
      </c>
      <c r="E2639" s="4" t="str">
        <f t="shared" si="110"/>
        <v>女</v>
      </c>
    </row>
    <row r="2640" spans="1:5" ht="30" customHeight="1">
      <c r="A2640" s="4">
        <v>2638</v>
      </c>
      <c r="B2640" s="4" t="str">
        <f>"39712022060613250896573"</f>
        <v>39712022060613250896573</v>
      </c>
      <c r="C2640" s="4" t="s">
        <v>27</v>
      </c>
      <c r="D2640" s="4" t="str">
        <f>"曾嫔"</f>
        <v>曾嫔</v>
      </c>
      <c r="E2640" s="4" t="str">
        <f t="shared" si="110"/>
        <v>女</v>
      </c>
    </row>
    <row r="2641" spans="1:5" ht="30" customHeight="1">
      <c r="A2641" s="4">
        <v>2639</v>
      </c>
      <c r="B2641" s="4" t="str">
        <f>"39712022060613463296739"</f>
        <v>39712022060613463296739</v>
      </c>
      <c r="C2641" s="4" t="s">
        <v>27</v>
      </c>
      <c r="D2641" s="4" t="str">
        <f>"陈瑜"</f>
        <v>陈瑜</v>
      </c>
      <c r="E2641" s="4" t="str">
        <f t="shared" si="110"/>
        <v>女</v>
      </c>
    </row>
    <row r="2642" spans="1:5" ht="30" customHeight="1">
      <c r="A2642" s="4">
        <v>2640</v>
      </c>
      <c r="B2642" s="4" t="str">
        <f>"39712022060614254597067"</f>
        <v>39712022060614254597067</v>
      </c>
      <c r="C2642" s="4" t="s">
        <v>27</v>
      </c>
      <c r="D2642" s="4" t="str">
        <f>"王冬圆"</f>
        <v>王冬圆</v>
      </c>
      <c r="E2642" s="4" t="str">
        <f t="shared" si="110"/>
        <v>女</v>
      </c>
    </row>
    <row r="2643" spans="1:5" ht="30" customHeight="1">
      <c r="A2643" s="4">
        <v>2641</v>
      </c>
      <c r="B2643" s="4" t="str">
        <f>"39712022060614463797323"</f>
        <v>39712022060614463797323</v>
      </c>
      <c r="C2643" s="4" t="s">
        <v>27</v>
      </c>
      <c r="D2643" s="4" t="str">
        <f>"王丽聪"</f>
        <v>王丽聪</v>
      </c>
      <c r="E2643" s="4" t="str">
        <f t="shared" si="110"/>
        <v>女</v>
      </c>
    </row>
    <row r="2644" spans="1:5" ht="30" customHeight="1">
      <c r="A2644" s="4">
        <v>2642</v>
      </c>
      <c r="B2644" s="4" t="str">
        <f>"39712022060614545397426"</f>
        <v>39712022060614545397426</v>
      </c>
      <c r="C2644" s="4" t="s">
        <v>27</v>
      </c>
      <c r="D2644" s="4" t="str">
        <f>"吴兴洁"</f>
        <v>吴兴洁</v>
      </c>
      <c r="E2644" s="4" t="str">
        <f t="shared" si="110"/>
        <v>女</v>
      </c>
    </row>
    <row r="2645" spans="1:5" ht="30" customHeight="1">
      <c r="A2645" s="4">
        <v>2643</v>
      </c>
      <c r="B2645" s="4" t="str">
        <f>"39712022060615042897559"</f>
        <v>39712022060615042897559</v>
      </c>
      <c r="C2645" s="4" t="s">
        <v>27</v>
      </c>
      <c r="D2645" s="4" t="str">
        <f>"杨裕丽"</f>
        <v>杨裕丽</v>
      </c>
      <c r="E2645" s="4" t="str">
        <f t="shared" si="110"/>
        <v>女</v>
      </c>
    </row>
    <row r="2646" spans="1:5" ht="30" customHeight="1">
      <c r="A2646" s="4">
        <v>2644</v>
      </c>
      <c r="B2646" s="4" t="str">
        <f>"39712022060615292397891"</f>
        <v>39712022060615292397891</v>
      </c>
      <c r="C2646" s="4" t="s">
        <v>27</v>
      </c>
      <c r="D2646" s="4" t="str">
        <f>"李玲"</f>
        <v>李玲</v>
      </c>
      <c r="E2646" s="4" t="str">
        <f t="shared" si="110"/>
        <v>女</v>
      </c>
    </row>
    <row r="2647" spans="1:5" ht="30" customHeight="1">
      <c r="A2647" s="4">
        <v>2645</v>
      </c>
      <c r="B2647" s="4" t="str">
        <f>"39712022060615530198220"</f>
        <v>39712022060615530198220</v>
      </c>
      <c r="C2647" s="4" t="s">
        <v>27</v>
      </c>
      <c r="D2647" s="4" t="str">
        <f>"邢倩"</f>
        <v>邢倩</v>
      </c>
      <c r="E2647" s="4" t="str">
        <f t="shared" si="110"/>
        <v>女</v>
      </c>
    </row>
    <row r="2648" spans="1:5" ht="30" customHeight="1">
      <c r="A2648" s="4">
        <v>2646</v>
      </c>
      <c r="B2648" s="4" t="str">
        <f>"39712022060616144898524"</f>
        <v>39712022060616144898524</v>
      </c>
      <c r="C2648" s="4" t="s">
        <v>27</v>
      </c>
      <c r="D2648" s="4" t="str">
        <f>"罗祥桃"</f>
        <v>罗祥桃</v>
      </c>
      <c r="E2648" s="4" t="str">
        <f t="shared" si="110"/>
        <v>女</v>
      </c>
    </row>
    <row r="2649" spans="1:5" ht="30" customHeight="1">
      <c r="A2649" s="4">
        <v>2647</v>
      </c>
      <c r="B2649" s="4" t="str">
        <f>"39712022060616294198710"</f>
        <v>39712022060616294198710</v>
      </c>
      <c r="C2649" s="4" t="s">
        <v>27</v>
      </c>
      <c r="D2649" s="4" t="str">
        <f>"王燕妮"</f>
        <v>王燕妮</v>
      </c>
      <c r="E2649" s="4" t="str">
        <f t="shared" si="110"/>
        <v>女</v>
      </c>
    </row>
    <row r="2650" spans="1:5" ht="30" customHeight="1">
      <c r="A2650" s="4">
        <v>2648</v>
      </c>
      <c r="B2650" s="4" t="str">
        <f>"39712022060616311698730"</f>
        <v>39712022060616311698730</v>
      </c>
      <c r="C2650" s="4" t="s">
        <v>27</v>
      </c>
      <c r="D2650" s="4" t="str">
        <f>"王柳"</f>
        <v>王柳</v>
      </c>
      <c r="E2650" s="4" t="str">
        <f t="shared" si="110"/>
        <v>女</v>
      </c>
    </row>
    <row r="2651" spans="1:5" ht="30" customHeight="1">
      <c r="A2651" s="4">
        <v>2649</v>
      </c>
      <c r="B2651" s="4" t="str">
        <f>"39712022060616383798824"</f>
        <v>39712022060616383798824</v>
      </c>
      <c r="C2651" s="4" t="s">
        <v>27</v>
      </c>
      <c r="D2651" s="4" t="str">
        <f>"林宏艳"</f>
        <v>林宏艳</v>
      </c>
      <c r="E2651" s="4" t="str">
        <f t="shared" si="110"/>
        <v>女</v>
      </c>
    </row>
    <row r="2652" spans="1:5" ht="30" customHeight="1">
      <c r="A2652" s="4">
        <v>2650</v>
      </c>
      <c r="B2652" s="4" t="str">
        <f>"39712022060616415398866"</f>
        <v>39712022060616415398866</v>
      </c>
      <c r="C2652" s="4" t="s">
        <v>27</v>
      </c>
      <c r="D2652" s="4" t="str">
        <f>"李祝秀"</f>
        <v>李祝秀</v>
      </c>
      <c r="E2652" s="4" t="str">
        <f t="shared" si="110"/>
        <v>女</v>
      </c>
    </row>
    <row r="2653" spans="1:5" ht="30" customHeight="1">
      <c r="A2653" s="4">
        <v>2651</v>
      </c>
      <c r="B2653" s="4" t="str">
        <f>"39712022060616485798963"</f>
        <v>39712022060616485798963</v>
      </c>
      <c r="C2653" s="4" t="s">
        <v>27</v>
      </c>
      <c r="D2653" s="4" t="str">
        <f>"庄乔云"</f>
        <v>庄乔云</v>
      </c>
      <c r="E2653" s="4" t="str">
        <f t="shared" si="110"/>
        <v>女</v>
      </c>
    </row>
    <row r="2654" spans="1:5" ht="30" customHeight="1">
      <c r="A2654" s="4">
        <v>2652</v>
      </c>
      <c r="B2654" s="4" t="str">
        <f>"39712022060617054099151"</f>
        <v>39712022060617054099151</v>
      </c>
      <c r="C2654" s="4" t="s">
        <v>27</v>
      </c>
      <c r="D2654" s="4" t="str">
        <f>"陈安祺"</f>
        <v>陈安祺</v>
      </c>
      <c r="E2654" s="4" t="str">
        <f t="shared" si="110"/>
        <v>女</v>
      </c>
    </row>
    <row r="2655" spans="1:5" ht="30" customHeight="1">
      <c r="A2655" s="4">
        <v>2653</v>
      </c>
      <c r="B2655" s="4" t="str">
        <f>"39712022060617200399305"</f>
        <v>39712022060617200399305</v>
      </c>
      <c r="C2655" s="4" t="s">
        <v>27</v>
      </c>
      <c r="D2655" s="4" t="str">
        <f>"陈启霞"</f>
        <v>陈启霞</v>
      </c>
      <c r="E2655" s="4" t="str">
        <f t="shared" si="110"/>
        <v>女</v>
      </c>
    </row>
    <row r="2656" spans="1:5" ht="30" customHeight="1">
      <c r="A2656" s="4">
        <v>2654</v>
      </c>
      <c r="B2656" s="4" t="str">
        <f>"39712022060617544899629"</f>
        <v>39712022060617544899629</v>
      </c>
      <c r="C2656" s="4" t="s">
        <v>27</v>
      </c>
      <c r="D2656" s="4" t="str">
        <f>"陈小玉"</f>
        <v>陈小玉</v>
      </c>
      <c r="E2656" s="4" t="str">
        <f t="shared" si="110"/>
        <v>女</v>
      </c>
    </row>
    <row r="2657" spans="1:5" ht="30" customHeight="1">
      <c r="A2657" s="4">
        <v>2655</v>
      </c>
      <c r="B2657" s="4" t="str">
        <f>"39712022060618024999692"</f>
        <v>39712022060618024999692</v>
      </c>
      <c r="C2657" s="4" t="s">
        <v>27</v>
      </c>
      <c r="D2657" s="4" t="str">
        <f>"杨金妹"</f>
        <v>杨金妹</v>
      </c>
      <c r="E2657" s="4" t="str">
        <f t="shared" si="110"/>
        <v>女</v>
      </c>
    </row>
    <row r="2658" spans="1:5" ht="30" customHeight="1">
      <c r="A2658" s="4">
        <v>2656</v>
      </c>
      <c r="B2658" s="4" t="str">
        <f>"39712022060618330899942"</f>
        <v>39712022060618330899942</v>
      </c>
      <c r="C2658" s="4" t="s">
        <v>27</v>
      </c>
      <c r="D2658" s="4" t="str">
        <f>"詹怡菲"</f>
        <v>詹怡菲</v>
      </c>
      <c r="E2658" s="4" t="str">
        <f t="shared" si="110"/>
        <v>女</v>
      </c>
    </row>
    <row r="2659" spans="1:5" ht="30" customHeight="1">
      <c r="A2659" s="4">
        <v>2657</v>
      </c>
      <c r="B2659" s="4" t="str">
        <f>"397120220606184912100077"</f>
        <v>397120220606184912100077</v>
      </c>
      <c r="C2659" s="4" t="s">
        <v>27</v>
      </c>
      <c r="D2659" s="4" t="str">
        <f>"陈春"</f>
        <v>陈春</v>
      </c>
      <c r="E2659" s="4" t="str">
        <f t="shared" si="110"/>
        <v>女</v>
      </c>
    </row>
    <row r="2660" spans="1:5" ht="30" customHeight="1">
      <c r="A2660" s="4">
        <v>2658</v>
      </c>
      <c r="B2660" s="4" t="str">
        <f>"397120220606185248100109"</f>
        <v>397120220606185248100109</v>
      </c>
      <c r="C2660" s="4" t="s">
        <v>27</v>
      </c>
      <c r="D2660" s="4" t="str">
        <f>"吴华贵"</f>
        <v>吴华贵</v>
      </c>
      <c r="E2660" s="4" t="str">
        <f t="shared" si="110"/>
        <v>女</v>
      </c>
    </row>
    <row r="2661" spans="1:5" ht="30" customHeight="1">
      <c r="A2661" s="4">
        <v>2659</v>
      </c>
      <c r="B2661" s="4" t="str">
        <f>"397120220606185619100147"</f>
        <v>397120220606185619100147</v>
      </c>
      <c r="C2661" s="4" t="s">
        <v>27</v>
      </c>
      <c r="D2661" s="4" t="str">
        <f>"吴海丽"</f>
        <v>吴海丽</v>
      </c>
      <c r="E2661" s="4" t="str">
        <f t="shared" si="110"/>
        <v>女</v>
      </c>
    </row>
    <row r="2662" spans="1:5" ht="30" customHeight="1">
      <c r="A2662" s="4">
        <v>2660</v>
      </c>
      <c r="B2662" s="4" t="str">
        <f>"397120220606185935100174"</f>
        <v>397120220606185935100174</v>
      </c>
      <c r="C2662" s="4" t="s">
        <v>27</v>
      </c>
      <c r="D2662" s="4" t="str">
        <f>"胡慧婷"</f>
        <v>胡慧婷</v>
      </c>
      <c r="E2662" s="4" t="str">
        <f t="shared" si="110"/>
        <v>女</v>
      </c>
    </row>
    <row r="2663" spans="1:5" ht="30" customHeight="1">
      <c r="A2663" s="4">
        <v>2661</v>
      </c>
      <c r="B2663" s="4" t="str">
        <f>"397120220606190348100205"</f>
        <v>397120220606190348100205</v>
      </c>
      <c r="C2663" s="4" t="s">
        <v>27</v>
      </c>
      <c r="D2663" s="4" t="str">
        <f>"钟招弟"</f>
        <v>钟招弟</v>
      </c>
      <c r="E2663" s="4" t="str">
        <f t="shared" si="110"/>
        <v>女</v>
      </c>
    </row>
    <row r="2664" spans="1:5" ht="30" customHeight="1">
      <c r="A2664" s="4">
        <v>2662</v>
      </c>
      <c r="B2664" s="4" t="str">
        <f>"397120220606191209100271"</f>
        <v>397120220606191209100271</v>
      </c>
      <c r="C2664" s="4" t="s">
        <v>27</v>
      </c>
      <c r="D2664" s="4" t="str">
        <f>"曾倩倩"</f>
        <v>曾倩倩</v>
      </c>
      <c r="E2664" s="4" t="str">
        <f t="shared" si="110"/>
        <v>女</v>
      </c>
    </row>
    <row r="2665" spans="1:5" ht="30" customHeight="1">
      <c r="A2665" s="4">
        <v>2663</v>
      </c>
      <c r="B2665" s="4" t="str">
        <f>"397120220606191717100302"</f>
        <v>397120220606191717100302</v>
      </c>
      <c r="C2665" s="4" t="s">
        <v>27</v>
      </c>
      <c r="D2665" s="4" t="str">
        <f>"海瑶"</f>
        <v>海瑶</v>
      </c>
      <c r="E2665" s="4" t="str">
        <f t="shared" si="110"/>
        <v>女</v>
      </c>
    </row>
    <row r="2666" spans="1:5" ht="30" customHeight="1">
      <c r="A2666" s="4">
        <v>2664</v>
      </c>
      <c r="B2666" s="4" t="str">
        <f>"397120220606195139100580"</f>
        <v>397120220606195139100580</v>
      </c>
      <c r="C2666" s="4" t="s">
        <v>27</v>
      </c>
      <c r="D2666" s="4" t="str">
        <f>"张蕾"</f>
        <v>张蕾</v>
      </c>
      <c r="E2666" s="4" t="str">
        <f t="shared" si="110"/>
        <v>女</v>
      </c>
    </row>
    <row r="2667" spans="1:5" ht="30" customHeight="1">
      <c r="A2667" s="4">
        <v>2665</v>
      </c>
      <c r="B2667" s="4" t="str">
        <f>"397120220606195535100612"</f>
        <v>397120220606195535100612</v>
      </c>
      <c r="C2667" s="4" t="s">
        <v>27</v>
      </c>
      <c r="D2667" s="4" t="str">
        <f>"李定霞"</f>
        <v>李定霞</v>
      </c>
      <c r="E2667" s="4" t="str">
        <f t="shared" si="110"/>
        <v>女</v>
      </c>
    </row>
    <row r="2668" spans="1:5" ht="30" customHeight="1">
      <c r="A2668" s="4">
        <v>2666</v>
      </c>
      <c r="B2668" s="4" t="str">
        <f>"397120220606200130100660"</f>
        <v>397120220606200130100660</v>
      </c>
      <c r="C2668" s="4" t="s">
        <v>27</v>
      </c>
      <c r="D2668" s="4" t="str">
        <f>"赵丽平"</f>
        <v>赵丽平</v>
      </c>
      <c r="E2668" s="4" t="str">
        <f t="shared" si="110"/>
        <v>女</v>
      </c>
    </row>
    <row r="2669" spans="1:5" ht="30" customHeight="1">
      <c r="A2669" s="4">
        <v>2667</v>
      </c>
      <c r="B2669" s="4" t="str">
        <f>"397120220606200425100681"</f>
        <v>397120220606200425100681</v>
      </c>
      <c r="C2669" s="4" t="s">
        <v>27</v>
      </c>
      <c r="D2669" s="4" t="str">
        <f>"黄雪"</f>
        <v>黄雪</v>
      </c>
      <c r="E2669" s="4" t="str">
        <f t="shared" si="110"/>
        <v>女</v>
      </c>
    </row>
    <row r="2670" spans="1:5" ht="30" customHeight="1">
      <c r="A2670" s="4">
        <v>2668</v>
      </c>
      <c r="B2670" s="4" t="str">
        <f>"397120220606201931100809"</f>
        <v>397120220606201931100809</v>
      </c>
      <c r="C2670" s="4" t="s">
        <v>27</v>
      </c>
      <c r="D2670" s="4" t="str">
        <f>"王玉丁"</f>
        <v>王玉丁</v>
      </c>
      <c r="E2670" s="4" t="str">
        <f t="shared" si="110"/>
        <v>女</v>
      </c>
    </row>
    <row r="2671" spans="1:5" ht="30" customHeight="1">
      <c r="A2671" s="4">
        <v>2669</v>
      </c>
      <c r="B2671" s="4" t="str">
        <f>"397120220606202609100869"</f>
        <v>397120220606202609100869</v>
      </c>
      <c r="C2671" s="4" t="s">
        <v>27</v>
      </c>
      <c r="D2671" s="4" t="str">
        <f>"张小莉"</f>
        <v>张小莉</v>
      </c>
      <c r="E2671" s="4" t="str">
        <f t="shared" si="110"/>
        <v>女</v>
      </c>
    </row>
    <row r="2672" spans="1:5" ht="30" customHeight="1">
      <c r="A2672" s="4">
        <v>2670</v>
      </c>
      <c r="B2672" s="4" t="str">
        <f>"397120220606203102100906"</f>
        <v>397120220606203102100906</v>
      </c>
      <c r="C2672" s="4" t="s">
        <v>27</v>
      </c>
      <c r="D2672" s="4" t="str">
        <f>"欧敬萍"</f>
        <v>欧敬萍</v>
      </c>
      <c r="E2672" s="4" t="str">
        <f t="shared" si="110"/>
        <v>女</v>
      </c>
    </row>
    <row r="2673" spans="1:5" ht="30" customHeight="1">
      <c r="A2673" s="4">
        <v>2671</v>
      </c>
      <c r="B2673" s="4" t="str">
        <f>"397120220606204335101004"</f>
        <v>397120220606204335101004</v>
      </c>
      <c r="C2673" s="4" t="s">
        <v>27</v>
      </c>
      <c r="D2673" s="4" t="str">
        <f>"郑岚尹"</f>
        <v>郑岚尹</v>
      </c>
      <c r="E2673" s="4" t="str">
        <f t="shared" si="110"/>
        <v>女</v>
      </c>
    </row>
    <row r="2674" spans="1:5" ht="30" customHeight="1">
      <c r="A2674" s="4">
        <v>2672</v>
      </c>
      <c r="B2674" s="4" t="str">
        <f>"397120220606204617101032"</f>
        <v>397120220606204617101032</v>
      </c>
      <c r="C2674" s="4" t="s">
        <v>27</v>
      </c>
      <c r="D2674" s="4" t="str">
        <f>"徐云"</f>
        <v>徐云</v>
      </c>
      <c r="E2674" s="4" t="str">
        <f t="shared" si="110"/>
        <v>女</v>
      </c>
    </row>
    <row r="2675" spans="1:5" ht="30" customHeight="1">
      <c r="A2675" s="4">
        <v>2673</v>
      </c>
      <c r="B2675" s="4" t="str">
        <f>"397120220606205330101087"</f>
        <v>397120220606205330101087</v>
      </c>
      <c r="C2675" s="4" t="s">
        <v>27</v>
      </c>
      <c r="D2675" s="4" t="str">
        <f>"冼慧敏"</f>
        <v>冼慧敏</v>
      </c>
      <c r="E2675" s="4" t="str">
        <f t="shared" si="110"/>
        <v>女</v>
      </c>
    </row>
    <row r="2676" spans="1:5" ht="30" customHeight="1">
      <c r="A2676" s="4">
        <v>2674</v>
      </c>
      <c r="B2676" s="4" t="str">
        <f>"397120220606211006101233"</f>
        <v>397120220606211006101233</v>
      </c>
      <c r="C2676" s="4" t="s">
        <v>27</v>
      </c>
      <c r="D2676" s="4" t="str">
        <f>"纪小丽"</f>
        <v>纪小丽</v>
      </c>
      <c r="E2676" s="4" t="str">
        <f t="shared" si="110"/>
        <v>女</v>
      </c>
    </row>
    <row r="2677" spans="1:5" ht="30" customHeight="1">
      <c r="A2677" s="4">
        <v>2675</v>
      </c>
      <c r="B2677" s="4" t="str">
        <f>"397120220606212526101364"</f>
        <v>397120220606212526101364</v>
      </c>
      <c r="C2677" s="4" t="s">
        <v>27</v>
      </c>
      <c r="D2677" s="4" t="str">
        <f>"何玲"</f>
        <v>何玲</v>
      </c>
      <c r="E2677" s="4" t="str">
        <f t="shared" si="110"/>
        <v>女</v>
      </c>
    </row>
    <row r="2678" spans="1:5" ht="30" customHeight="1">
      <c r="A2678" s="4">
        <v>2676</v>
      </c>
      <c r="B2678" s="4" t="str">
        <f>"397120220606213744101422"</f>
        <v>397120220606213744101422</v>
      </c>
      <c r="C2678" s="4" t="s">
        <v>27</v>
      </c>
      <c r="D2678" s="4" t="str">
        <f>"王彬"</f>
        <v>王彬</v>
      </c>
      <c r="E2678" s="4" t="str">
        <f t="shared" si="110"/>
        <v>女</v>
      </c>
    </row>
    <row r="2679" spans="1:5" ht="30" customHeight="1">
      <c r="A2679" s="4">
        <v>2677</v>
      </c>
      <c r="B2679" s="4" t="str">
        <f>"397120220606214106101475"</f>
        <v>397120220606214106101475</v>
      </c>
      <c r="C2679" s="4" t="s">
        <v>27</v>
      </c>
      <c r="D2679" s="4" t="str">
        <f>"黄小殷"</f>
        <v>黄小殷</v>
      </c>
      <c r="E2679" s="4" t="str">
        <f t="shared" si="110"/>
        <v>女</v>
      </c>
    </row>
    <row r="2680" spans="1:5" ht="30" customHeight="1">
      <c r="A2680" s="4">
        <v>2678</v>
      </c>
      <c r="B2680" s="4" t="str">
        <f>"397120220606214518101525"</f>
        <v>397120220606214518101525</v>
      </c>
      <c r="C2680" s="4" t="s">
        <v>27</v>
      </c>
      <c r="D2680" s="4" t="str">
        <f>"黎丹慧"</f>
        <v>黎丹慧</v>
      </c>
      <c r="E2680" s="4" t="str">
        <f t="shared" si="110"/>
        <v>女</v>
      </c>
    </row>
    <row r="2681" spans="1:5" ht="30" customHeight="1">
      <c r="A2681" s="4">
        <v>2679</v>
      </c>
      <c r="B2681" s="4" t="str">
        <f>"397120220606215919101657"</f>
        <v>397120220606215919101657</v>
      </c>
      <c r="C2681" s="4" t="s">
        <v>27</v>
      </c>
      <c r="D2681" s="4" t="str">
        <f>"曾美连"</f>
        <v>曾美连</v>
      </c>
      <c r="E2681" s="4" t="str">
        <f t="shared" si="110"/>
        <v>女</v>
      </c>
    </row>
    <row r="2682" spans="1:5" ht="30" customHeight="1">
      <c r="A2682" s="4">
        <v>2680</v>
      </c>
      <c r="B2682" s="4" t="str">
        <f>"397120220606220128101677"</f>
        <v>397120220606220128101677</v>
      </c>
      <c r="C2682" s="4" t="s">
        <v>27</v>
      </c>
      <c r="D2682" s="4" t="str">
        <f>"吴晓惠"</f>
        <v>吴晓惠</v>
      </c>
      <c r="E2682" s="4" t="str">
        <f t="shared" si="110"/>
        <v>女</v>
      </c>
    </row>
    <row r="2683" spans="1:5" ht="30" customHeight="1">
      <c r="A2683" s="4">
        <v>2681</v>
      </c>
      <c r="B2683" s="4" t="str">
        <f>"397120220606220628101729"</f>
        <v>397120220606220628101729</v>
      </c>
      <c r="C2683" s="4" t="s">
        <v>27</v>
      </c>
      <c r="D2683" s="4" t="str">
        <f>"刘易菲"</f>
        <v>刘易菲</v>
      </c>
      <c r="E2683" s="4" t="str">
        <f t="shared" si="110"/>
        <v>女</v>
      </c>
    </row>
    <row r="2684" spans="1:5" ht="30" customHeight="1">
      <c r="A2684" s="4">
        <v>2682</v>
      </c>
      <c r="B2684" s="4" t="str">
        <f>"397120220606221359101797"</f>
        <v>397120220606221359101797</v>
      </c>
      <c r="C2684" s="4" t="s">
        <v>27</v>
      </c>
      <c r="D2684" s="4" t="str">
        <f>"冯世丹"</f>
        <v>冯世丹</v>
      </c>
      <c r="E2684" s="4" t="str">
        <f t="shared" si="110"/>
        <v>女</v>
      </c>
    </row>
    <row r="2685" spans="1:5" ht="30" customHeight="1">
      <c r="A2685" s="4">
        <v>2683</v>
      </c>
      <c r="B2685" s="4" t="str">
        <f>"397120220606222057101846"</f>
        <v>397120220606222057101846</v>
      </c>
      <c r="C2685" s="4" t="s">
        <v>27</v>
      </c>
      <c r="D2685" s="4" t="str">
        <f>"陈海芳"</f>
        <v>陈海芳</v>
      </c>
      <c r="E2685" s="4" t="str">
        <f t="shared" si="110"/>
        <v>女</v>
      </c>
    </row>
    <row r="2686" spans="1:5" ht="30" customHeight="1">
      <c r="A2686" s="4">
        <v>2684</v>
      </c>
      <c r="B2686" s="4" t="str">
        <f>"397120220606222935101923"</f>
        <v>397120220606222935101923</v>
      </c>
      <c r="C2686" s="4" t="s">
        <v>27</v>
      </c>
      <c r="D2686" s="4" t="str">
        <f>"羊钰婷"</f>
        <v>羊钰婷</v>
      </c>
      <c r="E2686" s="4" t="str">
        <f t="shared" si="110"/>
        <v>女</v>
      </c>
    </row>
    <row r="2687" spans="1:5" ht="30" customHeight="1">
      <c r="A2687" s="4">
        <v>2685</v>
      </c>
      <c r="B2687" s="4" t="str">
        <f>"397120220606224158102032"</f>
        <v>397120220606224158102032</v>
      </c>
      <c r="C2687" s="4" t="s">
        <v>27</v>
      </c>
      <c r="D2687" s="4" t="str">
        <f>"陈景玉"</f>
        <v>陈景玉</v>
      </c>
      <c r="E2687" s="4" t="str">
        <f t="shared" si="110"/>
        <v>女</v>
      </c>
    </row>
    <row r="2688" spans="1:5" ht="30" customHeight="1">
      <c r="A2688" s="4">
        <v>2686</v>
      </c>
      <c r="B2688" s="4" t="str">
        <f>"397120220606225742102133"</f>
        <v>397120220606225742102133</v>
      </c>
      <c r="C2688" s="4" t="s">
        <v>27</v>
      </c>
      <c r="D2688" s="4" t="str">
        <f>"吴花英"</f>
        <v>吴花英</v>
      </c>
      <c r="E2688" s="4" t="str">
        <f t="shared" si="110"/>
        <v>女</v>
      </c>
    </row>
    <row r="2689" spans="1:5" ht="30" customHeight="1">
      <c r="A2689" s="4">
        <v>2687</v>
      </c>
      <c r="B2689" s="4" t="str">
        <f>"397120220606225900102142"</f>
        <v>397120220606225900102142</v>
      </c>
      <c r="C2689" s="4" t="s">
        <v>27</v>
      </c>
      <c r="D2689" s="4" t="str">
        <f>"陈蝶"</f>
        <v>陈蝶</v>
      </c>
      <c r="E2689" s="4" t="str">
        <f t="shared" si="110"/>
        <v>女</v>
      </c>
    </row>
    <row r="2690" spans="1:5" ht="30" customHeight="1">
      <c r="A2690" s="4">
        <v>2688</v>
      </c>
      <c r="B2690" s="4" t="str">
        <f>"397120220606231515102232"</f>
        <v>397120220606231515102232</v>
      </c>
      <c r="C2690" s="4" t="s">
        <v>27</v>
      </c>
      <c r="D2690" s="4" t="str">
        <f>"邝雪梅"</f>
        <v>邝雪梅</v>
      </c>
      <c r="E2690" s="4" t="str">
        <f t="shared" si="110"/>
        <v>女</v>
      </c>
    </row>
    <row r="2691" spans="1:5" ht="30" customHeight="1">
      <c r="A2691" s="4">
        <v>2689</v>
      </c>
      <c r="B2691" s="4" t="str">
        <f>"397120220606232833102291"</f>
        <v>397120220606232833102291</v>
      </c>
      <c r="C2691" s="4" t="s">
        <v>27</v>
      </c>
      <c r="D2691" s="4" t="str">
        <f>"王燕英"</f>
        <v>王燕英</v>
      </c>
      <c r="E2691" s="4" t="str">
        <f t="shared" si="110"/>
        <v>女</v>
      </c>
    </row>
    <row r="2692" spans="1:5" ht="30" customHeight="1">
      <c r="A2692" s="4">
        <v>2690</v>
      </c>
      <c r="B2692" s="4" t="str">
        <f>"397120220606234205102349"</f>
        <v>397120220606234205102349</v>
      </c>
      <c r="C2692" s="4" t="s">
        <v>27</v>
      </c>
      <c r="D2692" s="4" t="str">
        <f>"吴小文"</f>
        <v>吴小文</v>
      </c>
      <c r="E2692" s="4" t="str">
        <f t="shared" si="110"/>
        <v>女</v>
      </c>
    </row>
    <row r="2693" spans="1:5" ht="30" customHeight="1">
      <c r="A2693" s="4">
        <v>2691</v>
      </c>
      <c r="B2693" s="4" t="str">
        <f>"397120220607002106102447"</f>
        <v>397120220607002106102447</v>
      </c>
      <c r="C2693" s="4" t="s">
        <v>27</v>
      </c>
      <c r="D2693" s="4" t="str">
        <f>"李娥"</f>
        <v>李娥</v>
      </c>
      <c r="E2693" s="4" t="str">
        <f t="shared" si="110"/>
        <v>女</v>
      </c>
    </row>
    <row r="2694" spans="1:5" ht="30" customHeight="1">
      <c r="A2694" s="4">
        <v>2692</v>
      </c>
      <c r="B2694" s="4" t="str">
        <f>"397120220607003004102462"</f>
        <v>397120220607003004102462</v>
      </c>
      <c r="C2694" s="4" t="s">
        <v>27</v>
      </c>
      <c r="D2694" s="4" t="str">
        <f>"李健衡"</f>
        <v>李健衡</v>
      </c>
      <c r="E2694" s="4" t="str">
        <f t="shared" si="110"/>
        <v>女</v>
      </c>
    </row>
    <row r="2695" spans="1:5" ht="30" customHeight="1">
      <c r="A2695" s="4">
        <v>2693</v>
      </c>
      <c r="B2695" s="4" t="str">
        <f>"397120220607004035102470"</f>
        <v>397120220607004035102470</v>
      </c>
      <c r="C2695" s="4" t="s">
        <v>27</v>
      </c>
      <c r="D2695" s="4" t="str">
        <f>"梁文芳"</f>
        <v>梁文芳</v>
      </c>
      <c r="E2695" s="4" t="str">
        <f t="shared" si="110"/>
        <v>女</v>
      </c>
    </row>
    <row r="2696" spans="1:5" ht="30" customHeight="1">
      <c r="A2696" s="4">
        <v>2694</v>
      </c>
      <c r="B2696" s="4" t="str">
        <f>"397120220607034619102541"</f>
        <v>397120220607034619102541</v>
      </c>
      <c r="C2696" s="4" t="s">
        <v>27</v>
      </c>
      <c r="D2696" s="4" t="str">
        <f>"林琼转"</f>
        <v>林琼转</v>
      </c>
      <c r="E2696" s="4" t="str">
        <f t="shared" si="110"/>
        <v>女</v>
      </c>
    </row>
    <row r="2697" spans="1:5" ht="30" customHeight="1">
      <c r="A2697" s="4">
        <v>2695</v>
      </c>
      <c r="B2697" s="4" t="str">
        <f>"397120220607072505102617"</f>
        <v>397120220607072505102617</v>
      </c>
      <c r="C2697" s="4" t="s">
        <v>27</v>
      </c>
      <c r="D2697" s="4" t="str">
        <f>"王敏"</f>
        <v>王敏</v>
      </c>
      <c r="E2697" s="4" t="str">
        <f t="shared" si="110"/>
        <v>女</v>
      </c>
    </row>
    <row r="2698" spans="1:5" ht="30" customHeight="1">
      <c r="A2698" s="4">
        <v>2696</v>
      </c>
      <c r="B2698" s="4" t="str">
        <f>"397120220607082143102821"</f>
        <v>397120220607082143102821</v>
      </c>
      <c r="C2698" s="4" t="s">
        <v>27</v>
      </c>
      <c r="D2698" s="4" t="str">
        <f>"王妮"</f>
        <v>王妮</v>
      </c>
      <c r="E2698" s="4" t="str">
        <f t="shared" si="110"/>
        <v>女</v>
      </c>
    </row>
    <row r="2699" spans="1:5" ht="30" customHeight="1">
      <c r="A2699" s="4">
        <v>2697</v>
      </c>
      <c r="B2699" s="4" t="str">
        <f>"397120220607083400102918"</f>
        <v>397120220607083400102918</v>
      </c>
      <c r="C2699" s="4" t="s">
        <v>27</v>
      </c>
      <c r="D2699" s="4" t="str">
        <f>"方清"</f>
        <v>方清</v>
      </c>
      <c r="E2699" s="4" t="str">
        <f t="shared" si="110"/>
        <v>女</v>
      </c>
    </row>
    <row r="2700" spans="1:5" ht="30" customHeight="1">
      <c r="A2700" s="4">
        <v>2698</v>
      </c>
      <c r="B2700" s="4" t="str">
        <f>"397120220607084952103061"</f>
        <v>397120220607084952103061</v>
      </c>
      <c r="C2700" s="4" t="s">
        <v>27</v>
      </c>
      <c r="D2700" s="4" t="str">
        <f>"王青"</f>
        <v>王青</v>
      </c>
      <c r="E2700" s="4" t="str">
        <f t="shared" si="110"/>
        <v>女</v>
      </c>
    </row>
    <row r="2701" spans="1:5" ht="30" customHeight="1">
      <c r="A2701" s="4">
        <v>2699</v>
      </c>
      <c r="B2701" s="4" t="str">
        <f>"397120220607085133103079"</f>
        <v>397120220607085133103079</v>
      </c>
      <c r="C2701" s="4" t="s">
        <v>27</v>
      </c>
      <c r="D2701" s="4" t="str">
        <f>"张梦姿"</f>
        <v>张梦姿</v>
      </c>
      <c r="E2701" s="4" t="str">
        <f>"女"</f>
        <v>女</v>
      </c>
    </row>
    <row r="2702" spans="1:5" ht="30" customHeight="1">
      <c r="A2702" s="4">
        <v>2700</v>
      </c>
      <c r="B2702" s="4" t="str">
        <f>"397120220607085800103149"</f>
        <v>397120220607085800103149</v>
      </c>
      <c r="C2702" s="4" t="s">
        <v>27</v>
      </c>
      <c r="D2702" s="4" t="str">
        <f>"徐永玲"</f>
        <v>徐永玲</v>
      </c>
      <c r="E2702" s="4" t="str">
        <f>"女"</f>
        <v>女</v>
      </c>
    </row>
    <row r="2703" spans="1:5" ht="30" customHeight="1">
      <c r="A2703" s="4">
        <v>2701</v>
      </c>
      <c r="B2703" s="4" t="str">
        <f>"397120220607090200103189"</f>
        <v>397120220607090200103189</v>
      </c>
      <c r="C2703" s="4" t="s">
        <v>27</v>
      </c>
      <c r="D2703" s="4" t="str">
        <f>"吴清宇"</f>
        <v>吴清宇</v>
      </c>
      <c r="E2703" s="4" t="str">
        <f>"男"</f>
        <v>男</v>
      </c>
    </row>
    <row r="2704" spans="1:5" ht="30" customHeight="1">
      <c r="A2704" s="4">
        <v>2702</v>
      </c>
      <c r="B2704" s="4" t="str">
        <f>"397120220607092327103478"</f>
        <v>397120220607092327103478</v>
      </c>
      <c r="C2704" s="4" t="s">
        <v>27</v>
      </c>
      <c r="D2704" s="4" t="str">
        <f>"周莹莹"</f>
        <v>周莹莹</v>
      </c>
      <c r="E2704" s="4" t="str">
        <f aca="true" t="shared" si="111" ref="E2704:E2740">"女"</f>
        <v>女</v>
      </c>
    </row>
    <row r="2705" spans="1:5" ht="30" customHeight="1">
      <c r="A2705" s="4">
        <v>2703</v>
      </c>
      <c r="B2705" s="4" t="str">
        <f>"397120220607094743103813"</f>
        <v>397120220607094743103813</v>
      </c>
      <c r="C2705" s="4" t="s">
        <v>27</v>
      </c>
      <c r="D2705" s="4" t="str">
        <f>"秦栏娟"</f>
        <v>秦栏娟</v>
      </c>
      <c r="E2705" s="4" t="str">
        <f t="shared" si="111"/>
        <v>女</v>
      </c>
    </row>
    <row r="2706" spans="1:5" ht="30" customHeight="1">
      <c r="A2706" s="4">
        <v>2704</v>
      </c>
      <c r="B2706" s="4" t="str">
        <f>"397120220607102534104340"</f>
        <v>397120220607102534104340</v>
      </c>
      <c r="C2706" s="4" t="s">
        <v>27</v>
      </c>
      <c r="D2706" s="4" t="str">
        <f>"董欧"</f>
        <v>董欧</v>
      </c>
      <c r="E2706" s="4" t="str">
        <f t="shared" si="111"/>
        <v>女</v>
      </c>
    </row>
    <row r="2707" spans="1:5" ht="30" customHeight="1">
      <c r="A2707" s="4">
        <v>2705</v>
      </c>
      <c r="B2707" s="4" t="str">
        <f>"397120220607102632104363"</f>
        <v>397120220607102632104363</v>
      </c>
      <c r="C2707" s="4" t="s">
        <v>27</v>
      </c>
      <c r="D2707" s="4" t="str">
        <f>"林祺莹"</f>
        <v>林祺莹</v>
      </c>
      <c r="E2707" s="4" t="str">
        <f t="shared" si="111"/>
        <v>女</v>
      </c>
    </row>
    <row r="2708" spans="1:5" ht="30" customHeight="1">
      <c r="A2708" s="4">
        <v>2706</v>
      </c>
      <c r="B2708" s="4" t="str">
        <f>"397120220607111715104997"</f>
        <v>397120220607111715104997</v>
      </c>
      <c r="C2708" s="4" t="s">
        <v>27</v>
      </c>
      <c r="D2708" s="4" t="str">
        <f>"林株朱"</f>
        <v>林株朱</v>
      </c>
      <c r="E2708" s="4" t="str">
        <f t="shared" si="111"/>
        <v>女</v>
      </c>
    </row>
    <row r="2709" spans="1:5" ht="30" customHeight="1">
      <c r="A2709" s="4">
        <v>2707</v>
      </c>
      <c r="B2709" s="4" t="str">
        <f>"397120220607112346105067"</f>
        <v>397120220607112346105067</v>
      </c>
      <c r="C2709" s="4" t="s">
        <v>27</v>
      </c>
      <c r="D2709" s="4" t="str">
        <f>"符少慧"</f>
        <v>符少慧</v>
      </c>
      <c r="E2709" s="4" t="str">
        <f t="shared" si="111"/>
        <v>女</v>
      </c>
    </row>
    <row r="2710" spans="1:5" ht="30" customHeight="1">
      <c r="A2710" s="4">
        <v>2708</v>
      </c>
      <c r="B2710" s="4" t="str">
        <f>"397120220607113959105246"</f>
        <v>397120220607113959105246</v>
      </c>
      <c r="C2710" s="4" t="s">
        <v>27</v>
      </c>
      <c r="D2710" s="4" t="str">
        <f>"沈艺真"</f>
        <v>沈艺真</v>
      </c>
      <c r="E2710" s="4" t="str">
        <f t="shared" si="111"/>
        <v>女</v>
      </c>
    </row>
    <row r="2711" spans="1:5" ht="30" customHeight="1">
      <c r="A2711" s="4">
        <v>2709</v>
      </c>
      <c r="B2711" s="4" t="str">
        <f>"397120220607114042105252"</f>
        <v>397120220607114042105252</v>
      </c>
      <c r="C2711" s="4" t="s">
        <v>27</v>
      </c>
      <c r="D2711" s="4" t="str">
        <f>"吴艳"</f>
        <v>吴艳</v>
      </c>
      <c r="E2711" s="4" t="str">
        <f t="shared" si="111"/>
        <v>女</v>
      </c>
    </row>
    <row r="2712" spans="1:5" ht="30" customHeight="1">
      <c r="A2712" s="4">
        <v>2710</v>
      </c>
      <c r="B2712" s="4" t="str">
        <f>"397120220607114109105258"</f>
        <v>397120220607114109105258</v>
      </c>
      <c r="C2712" s="4" t="s">
        <v>27</v>
      </c>
      <c r="D2712" s="4" t="str">
        <f>"梅晨虹"</f>
        <v>梅晨虹</v>
      </c>
      <c r="E2712" s="4" t="str">
        <f t="shared" si="111"/>
        <v>女</v>
      </c>
    </row>
    <row r="2713" spans="1:5" ht="30" customHeight="1">
      <c r="A2713" s="4">
        <v>2711</v>
      </c>
      <c r="B2713" s="4" t="str">
        <f>"397120220607114938105341"</f>
        <v>397120220607114938105341</v>
      </c>
      <c r="C2713" s="4" t="s">
        <v>27</v>
      </c>
      <c r="D2713" s="4" t="str">
        <f>"谭俊妃"</f>
        <v>谭俊妃</v>
      </c>
      <c r="E2713" s="4" t="str">
        <f t="shared" si="111"/>
        <v>女</v>
      </c>
    </row>
    <row r="2714" spans="1:5" ht="30" customHeight="1">
      <c r="A2714" s="4">
        <v>2712</v>
      </c>
      <c r="B2714" s="4" t="str">
        <f>"397120220607115426105383"</f>
        <v>397120220607115426105383</v>
      </c>
      <c r="C2714" s="4" t="s">
        <v>27</v>
      </c>
      <c r="D2714" s="4" t="str">
        <f>"许佳佳"</f>
        <v>许佳佳</v>
      </c>
      <c r="E2714" s="4" t="str">
        <f t="shared" si="111"/>
        <v>女</v>
      </c>
    </row>
    <row r="2715" spans="1:5" ht="30" customHeight="1">
      <c r="A2715" s="4">
        <v>2713</v>
      </c>
      <c r="B2715" s="4" t="str">
        <f>"397120220607121544105555"</f>
        <v>397120220607121544105555</v>
      </c>
      <c r="C2715" s="4" t="s">
        <v>27</v>
      </c>
      <c r="D2715" s="4" t="str">
        <f>"李海燕"</f>
        <v>李海燕</v>
      </c>
      <c r="E2715" s="4" t="str">
        <f t="shared" si="111"/>
        <v>女</v>
      </c>
    </row>
    <row r="2716" spans="1:5" ht="30" customHeight="1">
      <c r="A2716" s="4">
        <v>2714</v>
      </c>
      <c r="B2716" s="4" t="str">
        <f>"397120220607122109105595"</f>
        <v>397120220607122109105595</v>
      </c>
      <c r="C2716" s="4" t="s">
        <v>27</v>
      </c>
      <c r="D2716" s="4" t="str">
        <f>"杨佳"</f>
        <v>杨佳</v>
      </c>
      <c r="E2716" s="4" t="str">
        <f t="shared" si="111"/>
        <v>女</v>
      </c>
    </row>
    <row r="2717" spans="1:5" ht="30" customHeight="1">
      <c r="A2717" s="4">
        <v>2715</v>
      </c>
      <c r="B2717" s="4" t="str">
        <f>"397120220607132746106085"</f>
        <v>397120220607132746106085</v>
      </c>
      <c r="C2717" s="4" t="s">
        <v>27</v>
      </c>
      <c r="D2717" s="4" t="str">
        <f>"李佩茜"</f>
        <v>李佩茜</v>
      </c>
      <c r="E2717" s="4" t="str">
        <f t="shared" si="111"/>
        <v>女</v>
      </c>
    </row>
    <row r="2718" spans="1:5" ht="30" customHeight="1">
      <c r="A2718" s="4">
        <v>2716</v>
      </c>
      <c r="B2718" s="4" t="str">
        <f>"397120220607141936106409"</f>
        <v>397120220607141936106409</v>
      </c>
      <c r="C2718" s="4" t="s">
        <v>27</v>
      </c>
      <c r="D2718" s="4" t="str">
        <f>"林芳宇"</f>
        <v>林芳宇</v>
      </c>
      <c r="E2718" s="4" t="str">
        <f t="shared" si="111"/>
        <v>女</v>
      </c>
    </row>
    <row r="2719" spans="1:5" ht="30" customHeight="1">
      <c r="A2719" s="4">
        <v>2717</v>
      </c>
      <c r="B2719" s="4" t="str">
        <f>"397120220607142838106475"</f>
        <v>397120220607142838106475</v>
      </c>
      <c r="C2719" s="4" t="s">
        <v>27</v>
      </c>
      <c r="D2719" s="4" t="str">
        <f>"谢丽雯"</f>
        <v>谢丽雯</v>
      </c>
      <c r="E2719" s="4" t="str">
        <f t="shared" si="111"/>
        <v>女</v>
      </c>
    </row>
    <row r="2720" spans="1:5" ht="30" customHeight="1">
      <c r="A2720" s="4">
        <v>2718</v>
      </c>
      <c r="B2720" s="4" t="str">
        <f>"397120220607144334106593"</f>
        <v>397120220607144334106593</v>
      </c>
      <c r="C2720" s="4" t="s">
        <v>27</v>
      </c>
      <c r="D2720" s="4" t="str">
        <f>"王曼雅"</f>
        <v>王曼雅</v>
      </c>
      <c r="E2720" s="4" t="str">
        <f t="shared" si="111"/>
        <v>女</v>
      </c>
    </row>
    <row r="2721" spans="1:5" ht="30" customHeight="1">
      <c r="A2721" s="4">
        <v>2719</v>
      </c>
      <c r="B2721" s="4" t="str">
        <f>"397120220607150706106812"</f>
        <v>397120220607150706106812</v>
      </c>
      <c r="C2721" s="4" t="s">
        <v>27</v>
      </c>
      <c r="D2721" s="4" t="str">
        <f>"周倩"</f>
        <v>周倩</v>
      </c>
      <c r="E2721" s="4" t="str">
        <f t="shared" si="111"/>
        <v>女</v>
      </c>
    </row>
    <row r="2722" spans="1:5" ht="30" customHeight="1">
      <c r="A2722" s="4">
        <v>2720</v>
      </c>
      <c r="B2722" s="4" t="str">
        <f>"397120220607152008106955"</f>
        <v>397120220607152008106955</v>
      </c>
      <c r="C2722" s="4" t="s">
        <v>27</v>
      </c>
      <c r="D2722" s="4" t="str">
        <f>"符芳锦"</f>
        <v>符芳锦</v>
      </c>
      <c r="E2722" s="4" t="str">
        <f t="shared" si="111"/>
        <v>女</v>
      </c>
    </row>
    <row r="2723" spans="1:5" ht="30" customHeight="1">
      <c r="A2723" s="4">
        <v>2721</v>
      </c>
      <c r="B2723" s="4" t="str">
        <f>"397120220607154320107213"</f>
        <v>397120220607154320107213</v>
      </c>
      <c r="C2723" s="4" t="s">
        <v>27</v>
      </c>
      <c r="D2723" s="4" t="str">
        <f>"唐小香"</f>
        <v>唐小香</v>
      </c>
      <c r="E2723" s="4" t="str">
        <f t="shared" si="111"/>
        <v>女</v>
      </c>
    </row>
    <row r="2724" spans="1:5" ht="30" customHeight="1">
      <c r="A2724" s="4">
        <v>2722</v>
      </c>
      <c r="B2724" s="4" t="str">
        <f>"397120220607161415107551"</f>
        <v>397120220607161415107551</v>
      </c>
      <c r="C2724" s="4" t="s">
        <v>27</v>
      </c>
      <c r="D2724" s="4" t="str">
        <f>"林冰"</f>
        <v>林冰</v>
      </c>
      <c r="E2724" s="4" t="str">
        <f t="shared" si="111"/>
        <v>女</v>
      </c>
    </row>
    <row r="2725" spans="1:5" ht="30" customHeight="1">
      <c r="A2725" s="4">
        <v>2723</v>
      </c>
      <c r="B2725" s="4" t="str">
        <f>"397120220607161440107561"</f>
        <v>397120220607161440107561</v>
      </c>
      <c r="C2725" s="4" t="s">
        <v>27</v>
      </c>
      <c r="D2725" s="4" t="str">
        <f>"云娜珍"</f>
        <v>云娜珍</v>
      </c>
      <c r="E2725" s="4" t="str">
        <f t="shared" si="111"/>
        <v>女</v>
      </c>
    </row>
    <row r="2726" spans="1:5" ht="30" customHeight="1">
      <c r="A2726" s="4">
        <v>2724</v>
      </c>
      <c r="B2726" s="4" t="str">
        <f>"397120220607162521107674"</f>
        <v>397120220607162521107674</v>
      </c>
      <c r="C2726" s="4" t="s">
        <v>27</v>
      </c>
      <c r="D2726" s="4" t="str">
        <f>"陈达娟"</f>
        <v>陈达娟</v>
      </c>
      <c r="E2726" s="4" t="str">
        <f t="shared" si="111"/>
        <v>女</v>
      </c>
    </row>
    <row r="2727" spans="1:5" ht="30" customHeight="1">
      <c r="A2727" s="4">
        <v>2725</v>
      </c>
      <c r="B2727" s="4" t="str">
        <f>"397120220607164626107880"</f>
        <v>397120220607164626107880</v>
      </c>
      <c r="C2727" s="4" t="s">
        <v>27</v>
      </c>
      <c r="D2727" s="4" t="str">
        <f>"黎亚霞"</f>
        <v>黎亚霞</v>
      </c>
      <c r="E2727" s="4" t="str">
        <f t="shared" si="111"/>
        <v>女</v>
      </c>
    </row>
    <row r="2728" spans="1:5" ht="30" customHeight="1">
      <c r="A2728" s="4">
        <v>2726</v>
      </c>
      <c r="B2728" s="4" t="str">
        <f>"397120220607165334107928"</f>
        <v>397120220607165334107928</v>
      </c>
      <c r="C2728" s="4" t="s">
        <v>27</v>
      </c>
      <c r="D2728" s="4" t="str">
        <f>"艾慧星"</f>
        <v>艾慧星</v>
      </c>
      <c r="E2728" s="4" t="str">
        <f t="shared" si="111"/>
        <v>女</v>
      </c>
    </row>
    <row r="2729" spans="1:5" ht="30" customHeight="1">
      <c r="A2729" s="4">
        <v>2727</v>
      </c>
      <c r="B2729" s="4" t="str">
        <f>"397120220607165815107971"</f>
        <v>397120220607165815107971</v>
      </c>
      <c r="C2729" s="4" t="s">
        <v>27</v>
      </c>
      <c r="D2729" s="4" t="str">
        <f>"黄俊莉"</f>
        <v>黄俊莉</v>
      </c>
      <c r="E2729" s="4" t="str">
        <f t="shared" si="111"/>
        <v>女</v>
      </c>
    </row>
    <row r="2730" spans="1:5" ht="30" customHeight="1">
      <c r="A2730" s="4">
        <v>2728</v>
      </c>
      <c r="B2730" s="4" t="str">
        <f>"397120220607170720108046"</f>
        <v>397120220607170720108046</v>
      </c>
      <c r="C2730" s="4" t="s">
        <v>27</v>
      </c>
      <c r="D2730" s="4" t="str">
        <f>"颜小雪"</f>
        <v>颜小雪</v>
      </c>
      <c r="E2730" s="4" t="str">
        <f t="shared" si="111"/>
        <v>女</v>
      </c>
    </row>
    <row r="2731" spans="1:5" ht="30" customHeight="1">
      <c r="A2731" s="4">
        <v>2729</v>
      </c>
      <c r="B2731" s="4" t="str">
        <f>"397120220607174554108376"</f>
        <v>397120220607174554108376</v>
      </c>
      <c r="C2731" s="4" t="s">
        <v>27</v>
      </c>
      <c r="D2731" s="4" t="str">
        <f>"海若诗"</f>
        <v>海若诗</v>
      </c>
      <c r="E2731" s="4" t="str">
        <f t="shared" si="111"/>
        <v>女</v>
      </c>
    </row>
    <row r="2732" spans="1:5" ht="30" customHeight="1">
      <c r="A2732" s="4">
        <v>2730</v>
      </c>
      <c r="B2732" s="4" t="str">
        <f>"397120220607181409108562"</f>
        <v>397120220607181409108562</v>
      </c>
      <c r="C2732" s="4" t="s">
        <v>27</v>
      </c>
      <c r="D2732" s="4" t="str">
        <f>"吴珠璎"</f>
        <v>吴珠璎</v>
      </c>
      <c r="E2732" s="4" t="str">
        <f t="shared" si="111"/>
        <v>女</v>
      </c>
    </row>
    <row r="2733" spans="1:5" ht="30" customHeight="1">
      <c r="A2733" s="4">
        <v>2731</v>
      </c>
      <c r="B2733" s="4" t="str">
        <f>"397120220607182640108650"</f>
        <v>397120220607182640108650</v>
      </c>
      <c r="C2733" s="4" t="s">
        <v>27</v>
      </c>
      <c r="D2733" s="4" t="str">
        <f>"陈蓉"</f>
        <v>陈蓉</v>
      </c>
      <c r="E2733" s="4" t="str">
        <f t="shared" si="111"/>
        <v>女</v>
      </c>
    </row>
    <row r="2734" spans="1:5" ht="30" customHeight="1">
      <c r="A2734" s="4">
        <v>2732</v>
      </c>
      <c r="B2734" s="4" t="str">
        <f>"397120220607190512108867"</f>
        <v>397120220607190512108867</v>
      </c>
      <c r="C2734" s="4" t="s">
        <v>27</v>
      </c>
      <c r="D2734" s="4" t="str">
        <f>"哈聪晓"</f>
        <v>哈聪晓</v>
      </c>
      <c r="E2734" s="4" t="str">
        <f t="shared" si="111"/>
        <v>女</v>
      </c>
    </row>
    <row r="2735" spans="1:5" ht="30" customHeight="1">
      <c r="A2735" s="4">
        <v>2733</v>
      </c>
      <c r="B2735" s="4" t="str">
        <f>"397120220607192147108952"</f>
        <v>397120220607192147108952</v>
      </c>
      <c r="C2735" s="4" t="s">
        <v>27</v>
      </c>
      <c r="D2735" s="4" t="str">
        <f>"陆国欣"</f>
        <v>陆国欣</v>
      </c>
      <c r="E2735" s="4" t="str">
        <f t="shared" si="111"/>
        <v>女</v>
      </c>
    </row>
    <row r="2736" spans="1:5" ht="30" customHeight="1">
      <c r="A2736" s="4">
        <v>2734</v>
      </c>
      <c r="B2736" s="4" t="str">
        <f>"397120220607193854109068"</f>
        <v>397120220607193854109068</v>
      </c>
      <c r="C2736" s="4" t="s">
        <v>27</v>
      </c>
      <c r="D2736" s="4" t="str">
        <f>"潘青云"</f>
        <v>潘青云</v>
      </c>
      <c r="E2736" s="4" t="str">
        <f t="shared" si="111"/>
        <v>女</v>
      </c>
    </row>
    <row r="2737" spans="1:5" ht="30" customHeight="1">
      <c r="A2737" s="4">
        <v>2735</v>
      </c>
      <c r="B2737" s="4" t="str">
        <f>"397120220607194202109084"</f>
        <v>397120220607194202109084</v>
      </c>
      <c r="C2737" s="4" t="s">
        <v>27</v>
      </c>
      <c r="D2737" s="4" t="str">
        <f>"王桂平"</f>
        <v>王桂平</v>
      </c>
      <c r="E2737" s="4" t="str">
        <f t="shared" si="111"/>
        <v>女</v>
      </c>
    </row>
    <row r="2738" spans="1:5" ht="30" customHeight="1">
      <c r="A2738" s="4">
        <v>2736</v>
      </c>
      <c r="B2738" s="4" t="str">
        <f>"397120220607203218109388"</f>
        <v>397120220607203218109388</v>
      </c>
      <c r="C2738" s="4" t="s">
        <v>27</v>
      </c>
      <c r="D2738" s="4" t="str">
        <f>"陈媚"</f>
        <v>陈媚</v>
      </c>
      <c r="E2738" s="4" t="str">
        <f t="shared" si="111"/>
        <v>女</v>
      </c>
    </row>
    <row r="2739" spans="1:5" ht="30" customHeight="1">
      <c r="A2739" s="4">
        <v>2737</v>
      </c>
      <c r="B2739" s="4" t="str">
        <f>"397120220607210802109654"</f>
        <v>397120220607210802109654</v>
      </c>
      <c r="C2739" s="4" t="s">
        <v>27</v>
      </c>
      <c r="D2739" s="4" t="str">
        <f>"黄海玉"</f>
        <v>黄海玉</v>
      </c>
      <c r="E2739" s="4" t="str">
        <f t="shared" si="111"/>
        <v>女</v>
      </c>
    </row>
    <row r="2740" spans="1:5" ht="30" customHeight="1">
      <c r="A2740" s="4">
        <v>2738</v>
      </c>
      <c r="B2740" s="4" t="str">
        <f>"397120220607213938109905"</f>
        <v>397120220607213938109905</v>
      </c>
      <c r="C2740" s="4" t="s">
        <v>27</v>
      </c>
      <c r="D2740" s="4" t="str">
        <f>"赵欣悦"</f>
        <v>赵欣悦</v>
      </c>
      <c r="E2740" s="4" t="str">
        <f t="shared" si="111"/>
        <v>女</v>
      </c>
    </row>
    <row r="2741" spans="1:5" ht="30" customHeight="1">
      <c r="A2741" s="4">
        <v>2739</v>
      </c>
      <c r="B2741" s="4" t="str">
        <f>"397120220607214429109943"</f>
        <v>397120220607214429109943</v>
      </c>
      <c r="C2741" s="4" t="s">
        <v>27</v>
      </c>
      <c r="D2741" s="4" t="str">
        <f>"林升首"</f>
        <v>林升首</v>
      </c>
      <c r="E2741" s="4" t="str">
        <f>"男"</f>
        <v>男</v>
      </c>
    </row>
    <row r="2742" spans="1:5" ht="30" customHeight="1">
      <c r="A2742" s="4">
        <v>2740</v>
      </c>
      <c r="B2742" s="4" t="str">
        <f>"397120220607215536110019"</f>
        <v>397120220607215536110019</v>
      </c>
      <c r="C2742" s="4" t="s">
        <v>27</v>
      </c>
      <c r="D2742" s="4" t="str">
        <f>"陈心如"</f>
        <v>陈心如</v>
      </c>
      <c r="E2742" s="4" t="str">
        <f>"女"</f>
        <v>女</v>
      </c>
    </row>
    <row r="2743" spans="1:5" ht="30" customHeight="1">
      <c r="A2743" s="4">
        <v>2741</v>
      </c>
      <c r="B2743" s="4" t="str">
        <f>"397120220607235232110595"</f>
        <v>397120220607235232110595</v>
      </c>
      <c r="C2743" s="4" t="s">
        <v>27</v>
      </c>
      <c r="D2743" s="4" t="str">
        <f>"丁飒"</f>
        <v>丁飒</v>
      </c>
      <c r="E2743" s="4" t="str">
        <f>"女"</f>
        <v>女</v>
      </c>
    </row>
    <row r="2744" spans="1:5" ht="30" customHeight="1">
      <c r="A2744" s="4">
        <v>2742</v>
      </c>
      <c r="B2744" s="4" t="str">
        <f>"397120220608001424110634"</f>
        <v>397120220608001424110634</v>
      </c>
      <c r="C2744" s="4" t="s">
        <v>27</v>
      </c>
      <c r="D2744" s="4" t="str">
        <f>"李淑瑜"</f>
        <v>李淑瑜</v>
      </c>
      <c r="E2744" s="4" t="str">
        <f>"女"</f>
        <v>女</v>
      </c>
    </row>
    <row r="2745" spans="1:5" ht="30" customHeight="1">
      <c r="A2745" s="4">
        <v>2743</v>
      </c>
      <c r="B2745" s="4" t="str">
        <f>"397120220608010413110708"</f>
        <v>397120220608010413110708</v>
      </c>
      <c r="C2745" s="4" t="s">
        <v>27</v>
      </c>
      <c r="D2745" s="4" t="str">
        <f>"雷婵露"</f>
        <v>雷婵露</v>
      </c>
      <c r="E2745" s="4" t="str">
        <f>"女"</f>
        <v>女</v>
      </c>
    </row>
    <row r="2746" spans="1:5" ht="30" customHeight="1">
      <c r="A2746" s="4">
        <v>2744</v>
      </c>
      <c r="B2746" s="4" t="str">
        <f>"397120220608072034110815"</f>
        <v>397120220608072034110815</v>
      </c>
      <c r="C2746" s="4" t="s">
        <v>27</v>
      </c>
      <c r="D2746" s="4" t="str">
        <f>"陈婵"</f>
        <v>陈婵</v>
      </c>
      <c r="E2746" s="4" t="str">
        <f>"女"</f>
        <v>女</v>
      </c>
    </row>
    <row r="2747" spans="1:5" ht="30" customHeight="1">
      <c r="A2747" s="4">
        <v>2745</v>
      </c>
      <c r="B2747" s="4" t="str">
        <f>"397120220608084658111113"</f>
        <v>397120220608084658111113</v>
      </c>
      <c r="C2747" s="4" t="s">
        <v>27</v>
      </c>
      <c r="D2747" s="4" t="str">
        <f>"劳诗媛"</f>
        <v>劳诗媛</v>
      </c>
      <c r="E2747" s="4" t="str">
        <f aca="true" t="shared" si="112" ref="E2747:E2752">"女"</f>
        <v>女</v>
      </c>
    </row>
    <row r="2748" spans="1:5" ht="30" customHeight="1">
      <c r="A2748" s="4">
        <v>2746</v>
      </c>
      <c r="B2748" s="4" t="str">
        <f>"397120220608091745111333"</f>
        <v>397120220608091745111333</v>
      </c>
      <c r="C2748" s="4" t="s">
        <v>27</v>
      </c>
      <c r="D2748" s="4" t="str">
        <f>"梁莉娜"</f>
        <v>梁莉娜</v>
      </c>
      <c r="E2748" s="4" t="str">
        <f t="shared" si="112"/>
        <v>女</v>
      </c>
    </row>
    <row r="2749" spans="1:5" ht="30" customHeight="1">
      <c r="A2749" s="4">
        <v>2747</v>
      </c>
      <c r="B2749" s="4" t="str">
        <f>"397120220608095554111656"</f>
        <v>397120220608095554111656</v>
      </c>
      <c r="C2749" s="4" t="s">
        <v>27</v>
      </c>
      <c r="D2749" s="4" t="str">
        <f>"蔡月葵"</f>
        <v>蔡月葵</v>
      </c>
      <c r="E2749" s="4" t="str">
        <f t="shared" si="112"/>
        <v>女</v>
      </c>
    </row>
    <row r="2750" spans="1:5" ht="30" customHeight="1">
      <c r="A2750" s="4">
        <v>2748</v>
      </c>
      <c r="B2750" s="4" t="str">
        <f>"397120220608102916111937"</f>
        <v>397120220608102916111937</v>
      </c>
      <c r="C2750" s="4" t="s">
        <v>27</v>
      </c>
      <c r="D2750" s="4" t="str">
        <f>"伍华丽"</f>
        <v>伍华丽</v>
      </c>
      <c r="E2750" s="4" t="str">
        <f t="shared" si="112"/>
        <v>女</v>
      </c>
    </row>
    <row r="2751" spans="1:5" ht="30" customHeight="1">
      <c r="A2751" s="4">
        <v>2749</v>
      </c>
      <c r="B2751" s="4" t="str">
        <f>"397120220608103439111987"</f>
        <v>397120220608103439111987</v>
      </c>
      <c r="C2751" s="4" t="s">
        <v>27</v>
      </c>
      <c r="D2751" s="4" t="str">
        <f>"汪鑫宏"</f>
        <v>汪鑫宏</v>
      </c>
      <c r="E2751" s="4" t="str">
        <f t="shared" si="112"/>
        <v>女</v>
      </c>
    </row>
    <row r="2752" spans="1:5" ht="30" customHeight="1">
      <c r="A2752" s="4">
        <v>2750</v>
      </c>
      <c r="B2752" s="4" t="str">
        <f>"39712022060400524888563"</f>
        <v>39712022060400524888563</v>
      </c>
      <c r="C2752" s="4" t="s">
        <v>28</v>
      </c>
      <c r="D2752" s="4" t="str">
        <f>"王怡君"</f>
        <v>王怡君</v>
      </c>
      <c r="E2752" s="4" t="str">
        <f t="shared" si="112"/>
        <v>女</v>
      </c>
    </row>
    <row r="2753" spans="1:5" ht="30" customHeight="1">
      <c r="A2753" s="4">
        <v>2751</v>
      </c>
      <c r="B2753" s="4" t="str">
        <f>"39712022060109004778181"</f>
        <v>39712022060109004778181</v>
      </c>
      <c r="C2753" s="4" t="s">
        <v>28</v>
      </c>
      <c r="D2753" s="4" t="str">
        <f>"陈夏旋"</f>
        <v>陈夏旋</v>
      </c>
      <c r="E2753" s="4" t="str">
        <f aca="true" t="shared" si="113" ref="E2753:E2806">"女"</f>
        <v>女</v>
      </c>
    </row>
    <row r="2754" spans="1:5" ht="30" customHeight="1">
      <c r="A2754" s="4">
        <v>2752</v>
      </c>
      <c r="B2754" s="4" t="str">
        <f>"39712022060109011978186"</f>
        <v>39712022060109011978186</v>
      </c>
      <c r="C2754" s="4" t="s">
        <v>28</v>
      </c>
      <c r="D2754" s="4" t="str">
        <f>"蔡兴婷"</f>
        <v>蔡兴婷</v>
      </c>
      <c r="E2754" s="4" t="str">
        <f t="shared" si="113"/>
        <v>女</v>
      </c>
    </row>
    <row r="2755" spans="1:5" ht="30" customHeight="1">
      <c r="A2755" s="4">
        <v>2753</v>
      </c>
      <c r="B2755" s="4" t="str">
        <f>"39712022060109021878195"</f>
        <v>39712022060109021878195</v>
      </c>
      <c r="C2755" s="4" t="s">
        <v>28</v>
      </c>
      <c r="D2755" s="4" t="str">
        <f>"俞思曼"</f>
        <v>俞思曼</v>
      </c>
      <c r="E2755" s="4" t="str">
        <f t="shared" si="113"/>
        <v>女</v>
      </c>
    </row>
    <row r="2756" spans="1:5" ht="30" customHeight="1">
      <c r="A2756" s="4">
        <v>2754</v>
      </c>
      <c r="B2756" s="4" t="str">
        <f>"39712022060109031278200"</f>
        <v>39712022060109031278200</v>
      </c>
      <c r="C2756" s="4" t="s">
        <v>28</v>
      </c>
      <c r="D2756" s="4" t="str">
        <f>"陆光秀"</f>
        <v>陆光秀</v>
      </c>
      <c r="E2756" s="4" t="str">
        <f t="shared" si="113"/>
        <v>女</v>
      </c>
    </row>
    <row r="2757" spans="1:5" ht="30" customHeight="1">
      <c r="A2757" s="4">
        <v>2755</v>
      </c>
      <c r="B2757" s="4" t="str">
        <f>"39712022060109040678207"</f>
        <v>39712022060109040678207</v>
      </c>
      <c r="C2757" s="4" t="s">
        <v>28</v>
      </c>
      <c r="D2757" s="4" t="str">
        <f>"陈夏薇"</f>
        <v>陈夏薇</v>
      </c>
      <c r="E2757" s="4" t="str">
        <f t="shared" si="113"/>
        <v>女</v>
      </c>
    </row>
    <row r="2758" spans="1:5" ht="30" customHeight="1">
      <c r="A2758" s="4">
        <v>2756</v>
      </c>
      <c r="B2758" s="4" t="str">
        <f>"39712022060109070278233"</f>
        <v>39712022060109070278233</v>
      </c>
      <c r="C2758" s="4" t="s">
        <v>28</v>
      </c>
      <c r="D2758" s="4" t="str">
        <f>"朱云"</f>
        <v>朱云</v>
      </c>
      <c r="E2758" s="4" t="str">
        <f t="shared" si="113"/>
        <v>女</v>
      </c>
    </row>
    <row r="2759" spans="1:5" ht="30" customHeight="1">
      <c r="A2759" s="4">
        <v>2757</v>
      </c>
      <c r="B2759" s="4" t="str">
        <f>"39712022060109095178264"</f>
        <v>39712022060109095178264</v>
      </c>
      <c r="C2759" s="4" t="s">
        <v>28</v>
      </c>
      <c r="D2759" s="4" t="str">
        <f>"钟芸"</f>
        <v>钟芸</v>
      </c>
      <c r="E2759" s="4" t="str">
        <f t="shared" si="113"/>
        <v>女</v>
      </c>
    </row>
    <row r="2760" spans="1:5" ht="30" customHeight="1">
      <c r="A2760" s="4">
        <v>2758</v>
      </c>
      <c r="B2760" s="4" t="str">
        <f>"39712022060109124778290"</f>
        <v>39712022060109124778290</v>
      </c>
      <c r="C2760" s="4" t="s">
        <v>28</v>
      </c>
      <c r="D2760" s="4" t="str">
        <f>"韩丹"</f>
        <v>韩丹</v>
      </c>
      <c r="E2760" s="4" t="str">
        <f t="shared" si="113"/>
        <v>女</v>
      </c>
    </row>
    <row r="2761" spans="1:5" ht="30" customHeight="1">
      <c r="A2761" s="4">
        <v>2759</v>
      </c>
      <c r="B2761" s="4" t="str">
        <f>"39712022060109140178300"</f>
        <v>39712022060109140178300</v>
      </c>
      <c r="C2761" s="4" t="s">
        <v>28</v>
      </c>
      <c r="D2761" s="4" t="str">
        <f>"王婷婷"</f>
        <v>王婷婷</v>
      </c>
      <c r="E2761" s="4" t="str">
        <f t="shared" si="113"/>
        <v>女</v>
      </c>
    </row>
    <row r="2762" spans="1:5" ht="30" customHeight="1">
      <c r="A2762" s="4">
        <v>2760</v>
      </c>
      <c r="B2762" s="4" t="str">
        <f>"39712022060109144478309"</f>
        <v>39712022060109144478309</v>
      </c>
      <c r="C2762" s="4" t="s">
        <v>28</v>
      </c>
      <c r="D2762" s="4" t="str">
        <f>"吴挺丽"</f>
        <v>吴挺丽</v>
      </c>
      <c r="E2762" s="4" t="str">
        <f t="shared" si="113"/>
        <v>女</v>
      </c>
    </row>
    <row r="2763" spans="1:5" ht="30" customHeight="1">
      <c r="A2763" s="4">
        <v>2761</v>
      </c>
      <c r="B2763" s="4" t="str">
        <f>"39712022060109224278388"</f>
        <v>39712022060109224278388</v>
      </c>
      <c r="C2763" s="4" t="s">
        <v>28</v>
      </c>
      <c r="D2763" s="4" t="str">
        <f>"符钰月"</f>
        <v>符钰月</v>
      </c>
      <c r="E2763" s="4" t="str">
        <f t="shared" si="113"/>
        <v>女</v>
      </c>
    </row>
    <row r="2764" spans="1:5" ht="30" customHeight="1">
      <c r="A2764" s="4">
        <v>2762</v>
      </c>
      <c r="B2764" s="4" t="str">
        <f>"39712022060109225478389"</f>
        <v>39712022060109225478389</v>
      </c>
      <c r="C2764" s="4" t="s">
        <v>28</v>
      </c>
      <c r="D2764" s="4" t="str">
        <f>"范珊珊"</f>
        <v>范珊珊</v>
      </c>
      <c r="E2764" s="4" t="str">
        <f t="shared" si="113"/>
        <v>女</v>
      </c>
    </row>
    <row r="2765" spans="1:5" ht="30" customHeight="1">
      <c r="A2765" s="4">
        <v>2763</v>
      </c>
      <c r="B2765" s="4" t="str">
        <f>"39712022060109230978390"</f>
        <v>39712022060109230978390</v>
      </c>
      <c r="C2765" s="4" t="s">
        <v>28</v>
      </c>
      <c r="D2765" s="4" t="str">
        <f>"董玉妍"</f>
        <v>董玉妍</v>
      </c>
      <c r="E2765" s="4" t="str">
        <f t="shared" si="113"/>
        <v>女</v>
      </c>
    </row>
    <row r="2766" spans="1:5" ht="30" customHeight="1">
      <c r="A2766" s="4">
        <v>2764</v>
      </c>
      <c r="B2766" s="4" t="str">
        <f>"39712022060109240378398"</f>
        <v>39712022060109240378398</v>
      </c>
      <c r="C2766" s="4" t="s">
        <v>28</v>
      </c>
      <c r="D2766" s="4" t="str">
        <f>"冯金英"</f>
        <v>冯金英</v>
      </c>
      <c r="E2766" s="4" t="str">
        <f t="shared" si="113"/>
        <v>女</v>
      </c>
    </row>
    <row r="2767" spans="1:5" ht="30" customHeight="1">
      <c r="A2767" s="4">
        <v>2765</v>
      </c>
      <c r="B2767" s="4" t="str">
        <f>"39712022060109260778421"</f>
        <v>39712022060109260778421</v>
      </c>
      <c r="C2767" s="4" t="s">
        <v>28</v>
      </c>
      <c r="D2767" s="4" t="str">
        <f>"黄佳佳"</f>
        <v>黄佳佳</v>
      </c>
      <c r="E2767" s="4" t="str">
        <f t="shared" si="113"/>
        <v>女</v>
      </c>
    </row>
    <row r="2768" spans="1:5" ht="30" customHeight="1">
      <c r="A2768" s="4">
        <v>2766</v>
      </c>
      <c r="B2768" s="4" t="str">
        <f>"39712022060109282678442"</f>
        <v>39712022060109282678442</v>
      </c>
      <c r="C2768" s="4" t="s">
        <v>28</v>
      </c>
      <c r="D2768" s="4" t="str">
        <f>"王诗雅"</f>
        <v>王诗雅</v>
      </c>
      <c r="E2768" s="4" t="str">
        <f t="shared" si="113"/>
        <v>女</v>
      </c>
    </row>
    <row r="2769" spans="1:5" ht="30" customHeight="1">
      <c r="A2769" s="4">
        <v>2767</v>
      </c>
      <c r="B2769" s="4" t="str">
        <f>"39712022060109295778453"</f>
        <v>39712022060109295778453</v>
      </c>
      <c r="C2769" s="4" t="s">
        <v>28</v>
      </c>
      <c r="D2769" s="4" t="str">
        <f>"王书莉"</f>
        <v>王书莉</v>
      </c>
      <c r="E2769" s="4" t="str">
        <f t="shared" si="113"/>
        <v>女</v>
      </c>
    </row>
    <row r="2770" spans="1:5" ht="30" customHeight="1">
      <c r="A2770" s="4">
        <v>2768</v>
      </c>
      <c r="B2770" s="4" t="str">
        <f>"39712022060109300778455"</f>
        <v>39712022060109300778455</v>
      </c>
      <c r="C2770" s="4" t="s">
        <v>28</v>
      </c>
      <c r="D2770" s="4" t="str">
        <f>"郑庆燕"</f>
        <v>郑庆燕</v>
      </c>
      <c r="E2770" s="4" t="str">
        <f t="shared" si="113"/>
        <v>女</v>
      </c>
    </row>
    <row r="2771" spans="1:5" ht="30" customHeight="1">
      <c r="A2771" s="4">
        <v>2769</v>
      </c>
      <c r="B2771" s="4" t="str">
        <f>"39712022060109312478465"</f>
        <v>39712022060109312478465</v>
      </c>
      <c r="C2771" s="4" t="s">
        <v>28</v>
      </c>
      <c r="D2771" s="4" t="str">
        <f>"王冰"</f>
        <v>王冰</v>
      </c>
      <c r="E2771" s="4" t="str">
        <f t="shared" si="113"/>
        <v>女</v>
      </c>
    </row>
    <row r="2772" spans="1:5" ht="30" customHeight="1">
      <c r="A2772" s="4">
        <v>2770</v>
      </c>
      <c r="B2772" s="4" t="str">
        <f>"39712022060109314978469"</f>
        <v>39712022060109314978469</v>
      </c>
      <c r="C2772" s="4" t="s">
        <v>28</v>
      </c>
      <c r="D2772" s="4" t="str">
        <f>"吴玉莲"</f>
        <v>吴玉莲</v>
      </c>
      <c r="E2772" s="4" t="str">
        <f t="shared" si="113"/>
        <v>女</v>
      </c>
    </row>
    <row r="2773" spans="1:5" ht="30" customHeight="1">
      <c r="A2773" s="4">
        <v>2771</v>
      </c>
      <c r="B2773" s="4" t="str">
        <f>"39712022060109332178480"</f>
        <v>39712022060109332178480</v>
      </c>
      <c r="C2773" s="4" t="s">
        <v>28</v>
      </c>
      <c r="D2773" s="4" t="str">
        <f>"桂玲凤"</f>
        <v>桂玲凤</v>
      </c>
      <c r="E2773" s="4" t="str">
        <f t="shared" si="113"/>
        <v>女</v>
      </c>
    </row>
    <row r="2774" spans="1:5" ht="30" customHeight="1">
      <c r="A2774" s="4">
        <v>2772</v>
      </c>
      <c r="B2774" s="4" t="str">
        <f>"39712022060109362178507"</f>
        <v>39712022060109362178507</v>
      </c>
      <c r="C2774" s="4" t="s">
        <v>28</v>
      </c>
      <c r="D2774" s="4" t="str">
        <f>"崔晶"</f>
        <v>崔晶</v>
      </c>
      <c r="E2774" s="4" t="str">
        <f t="shared" si="113"/>
        <v>女</v>
      </c>
    </row>
    <row r="2775" spans="1:5" ht="30" customHeight="1">
      <c r="A2775" s="4">
        <v>2773</v>
      </c>
      <c r="B2775" s="4" t="str">
        <f>"39712022060109401878536"</f>
        <v>39712022060109401878536</v>
      </c>
      <c r="C2775" s="4" t="s">
        <v>28</v>
      </c>
      <c r="D2775" s="4" t="str">
        <f>"吴海婷"</f>
        <v>吴海婷</v>
      </c>
      <c r="E2775" s="4" t="str">
        <f t="shared" si="113"/>
        <v>女</v>
      </c>
    </row>
    <row r="2776" spans="1:5" ht="30" customHeight="1">
      <c r="A2776" s="4">
        <v>2774</v>
      </c>
      <c r="B2776" s="4" t="str">
        <f>"39712022060109412678550"</f>
        <v>39712022060109412678550</v>
      </c>
      <c r="C2776" s="4" t="s">
        <v>28</v>
      </c>
      <c r="D2776" s="4" t="str">
        <f>"黄晓梅"</f>
        <v>黄晓梅</v>
      </c>
      <c r="E2776" s="4" t="str">
        <f t="shared" si="113"/>
        <v>女</v>
      </c>
    </row>
    <row r="2777" spans="1:5" ht="30" customHeight="1">
      <c r="A2777" s="4">
        <v>2775</v>
      </c>
      <c r="B2777" s="4" t="str">
        <f>"39712022060109422178560"</f>
        <v>39712022060109422178560</v>
      </c>
      <c r="C2777" s="4" t="s">
        <v>28</v>
      </c>
      <c r="D2777" s="4" t="str">
        <f>"陈明颖"</f>
        <v>陈明颖</v>
      </c>
      <c r="E2777" s="4" t="str">
        <f t="shared" si="113"/>
        <v>女</v>
      </c>
    </row>
    <row r="2778" spans="1:5" ht="30" customHeight="1">
      <c r="A2778" s="4">
        <v>2776</v>
      </c>
      <c r="B2778" s="4" t="str">
        <f>"39712022060109471478601"</f>
        <v>39712022060109471478601</v>
      </c>
      <c r="C2778" s="4" t="s">
        <v>28</v>
      </c>
      <c r="D2778" s="4" t="str">
        <f>"文小静"</f>
        <v>文小静</v>
      </c>
      <c r="E2778" s="4" t="str">
        <f t="shared" si="113"/>
        <v>女</v>
      </c>
    </row>
    <row r="2779" spans="1:5" ht="30" customHeight="1">
      <c r="A2779" s="4">
        <v>2777</v>
      </c>
      <c r="B2779" s="4" t="str">
        <f>"39712022060109483278614"</f>
        <v>39712022060109483278614</v>
      </c>
      <c r="C2779" s="4" t="s">
        <v>28</v>
      </c>
      <c r="D2779" s="4" t="str">
        <f>"陈小慧"</f>
        <v>陈小慧</v>
      </c>
      <c r="E2779" s="4" t="str">
        <f t="shared" si="113"/>
        <v>女</v>
      </c>
    </row>
    <row r="2780" spans="1:5" ht="30" customHeight="1">
      <c r="A2780" s="4">
        <v>2778</v>
      </c>
      <c r="B2780" s="4" t="str">
        <f>"39712022060109501778631"</f>
        <v>39712022060109501778631</v>
      </c>
      <c r="C2780" s="4" t="s">
        <v>28</v>
      </c>
      <c r="D2780" s="4" t="str">
        <f>"韩丹妮"</f>
        <v>韩丹妮</v>
      </c>
      <c r="E2780" s="4" t="str">
        <f t="shared" si="113"/>
        <v>女</v>
      </c>
    </row>
    <row r="2781" spans="1:5" ht="30" customHeight="1">
      <c r="A2781" s="4">
        <v>2779</v>
      </c>
      <c r="B2781" s="4" t="str">
        <f>"39712022060109502878633"</f>
        <v>39712022060109502878633</v>
      </c>
      <c r="C2781" s="4" t="s">
        <v>28</v>
      </c>
      <c r="D2781" s="4" t="str">
        <f>"唐慧"</f>
        <v>唐慧</v>
      </c>
      <c r="E2781" s="4" t="str">
        <f t="shared" si="113"/>
        <v>女</v>
      </c>
    </row>
    <row r="2782" spans="1:5" ht="30" customHeight="1">
      <c r="A2782" s="4">
        <v>2780</v>
      </c>
      <c r="B2782" s="4" t="str">
        <f>"39712022060109553978673"</f>
        <v>39712022060109553978673</v>
      </c>
      <c r="C2782" s="4" t="s">
        <v>28</v>
      </c>
      <c r="D2782" s="4" t="str">
        <f>"卢小婧"</f>
        <v>卢小婧</v>
      </c>
      <c r="E2782" s="4" t="str">
        <f t="shared" si="113"/>
        <v>女</v>
      </c>
    </row>
    <row r="2783" spans="1:5" ht="30" customHeight="1">
      <c r="A2783" s="4">
        <v>2781</v>
      </c>
      <c r="B2783" s="4" t="str">
        <f>"39712022060110004978722"</f>
        <v>39712022060110004978722</v>
      </c>
      <c r="C2783" s="4" t="s">
        <v>28</v>
      </c>
      <c r="D2783" s="4" t="str">
        <f>"李莉芬"</f>
        <v>李莉芬</v>
      </c>
      <c r="E2783" s="4" t="str">
        <f t="shared" si="113"/>
        <v>女</v>
      </c>
    </row>
    <row r="2784" spans="1:5" ht="30" customHeight="1">
      <c r="A2784" s="4">
        <v>2782</v>
      </c>
      <c r="B2784" s="4" t="str">
        <f>"39712022060110011078725"</f>
        <v>39712022060110011078725</v>
      </c>
      <c r="C2784" s="4" t="s">
        <v>28</v>
      </c>
      <c r="D2784" s="4" t="str">
        <f>"蔡佩芬"</f>
        <v>蔡佩芬</v>
      </c>
      <c r="E2784" s="4" t="str">
        <f t="shared" si="113"/>
        <v>女</v>
      </c>
    </row>
    <row r="2785" spans="1:5" ht="30" customHeight="1">
      <c r="A2785" s="4">
        <v>2783</v>
      </c>
      <c r="B2785" s="4" t="str">
        <f>"39712022060110012478728"</f>
        <v>39712022060110012478728</v>
      </c>
      <c r="C2785" s="4" t="s">
        <v>28</v>
      </c>
      <c r="D2785" s="4" t="str">
        <f>"郑雪君"</f>
        <v>郑雪君</v>
      </c>
      <c r="E2785" s="4" t="str">
        <f t="shared" si="113"/>
        <v>女</v>
      </c>
    </row>
    <row r="2786" spans="1:5" ht="30" customHeight="1">
      <c r="A2786" s="4">
        <v>2784</v>
      </c>
      <c r="B2786" s="4" t="str">
        <f>"39712022060110024478733"</f>
        <v>39712022060110024478733</v>
      </c>
      <c r="C2786" s="4" t="s">
        <v>28</v>
      </c>
      <c r="D2786" s="4" t="str">
        <f>"林燕梅"</f>
        <v>林燕梅</v>
      </c>
      <c r="E2786" s="4" t="str">
        <f t="shared" si="113"/>
        <v>女</v>
      </c>
    </row>
    <row r="2787" spans="1:5" ht="30" customHeight="1">
      <c r="A2787" s="4">
        <v>2785</v>
      </c>
      <c r="B2787" s="4" t="str">
        <f>"39712022060110041178743"</f>
        <v>39712022060110041178743</v>
      </c>
      <c r="C2787" s="4" t="s">
        <v>28</v>
      </c>
      <c r="D2787" s="4" t="str">
        <f>"李海珍"</f>
        <v>李海珍</v>
      </c>
      <c r="E2787" s="4" t="str">
        <f t="shared" si="113"/>
        <v>女</v>
      </c>
    </row>
    <row r="2788" spans="1:5" ht="30" customHeight="1">
      <c r="A2788" s="4">
        <v>2786</v>
      </c>
      <c r="B2788" s="4" t="str">
        <f>"39712022060110042978745"</f>
        <v>39712022060110042978745</v>
      </c>
      <c r="C2788" s="4" t="s">
        <v>28</v>
      </c>
      <c r="D2788" s="4" t="str">
        <f>"杭苗心"</f>
        <v>杭苗心</v>
      </c>
      <c r="E2788" s="4" t="str">
        <f t="shared" si="113"/>
        <v>女</v>
      </c>
    </row>
    <row r="2789" spans="1:5" ht="30" customHeight="1">
      <c r="A2789" s="4">
        <v>2787</v>
      </c>
      <c r="B2789" s="4" t="str">
        <f>"39712022060110055878756"</f>
        <v>39712022060110055878756</v>
      </c>
      <c r="C2789" s="4" t="s">
        <v>28</v>
      </c>
      <c r="D2789" s="4" t="str">
        <f>"陈佳欣"</f>
        <v>陈佳欣</v>
      </c>
      <c r="E2789" s="4" t="str">
        <f t="shared" si="113"/>
        <v>女</v>
      </c>
    </row>
    <row r="2790" spans="1:5" ht="30" customHeight="1">
      <c r="A2790" s="4">
        <v>2788</v>
      </c>
      <c r="B2790" s="4" t="str">
        <f>"39712022060110093778789"</f>
        <v>39712022060110093778789</v>
      </c>
      <c r="C2790" s="4" t="s">
        <v>28</v>
      </c>
      <c r="D2790" s="4" t="str">
        <f>"黄大琛"</f>
        <v>黄大琛</v>
      </c>
      <c r="E2790" s="4" t="str">
        <f t="shared" si="113"/>
        <v>女</v>
      </c>
    </row>
    <row r="2791" spans="1:5" ht="30" customHeight="1">
      <c r="A2791" s="4">
        <v>2789</v>
      </c>
      <c r="B2791" s="4" t="str">
        <f>"39712022060110094778790"</f>
        <v>39712022060110094778790</v>
      </c>
      <c r="C2791" s="4" t="s">
        <v>28</v>
      </c>
      <c r="D2791" s="4" t="str">
        <f>"王玲"</f>
        <v>王玲</v>
      </c>
      <c r="E2791" s="4" t="str">
        <f t="shared" si="113"/>
        <v>女</v>
      </c>
    </row>
    <row r="2792" spans="1:5" ht="30" customHeight="1">
      <c r="A2792" s="4">
        <v>2790</v>
      </c>
      <c r="B2792" s="4" t="str">
        <f>"39712022060110115178812"</f>
        <v>39712022060110115178812</v>
      </c>
      <c r="C2792" s="4" t="s">
        <v>28</v>
      </c>
      <c r="D2792" s="4" t="str">
        <f>"郑丹琪"</f>
        <v>郑丹琪</v>
      </c>
      <c r="E2792" s="4" t="str">
        <f t="shared" si="113"/>
        <v>女</v>
      </c>
    </row>
    <row r="2793" spans="1:5" ht="30" customHeight="1">
      <c r="A2793" s="4">
        <v>2791</v>
      </c>
      <c r="B2793" s="4" t="str">
        <f>"39712022060110142178825"</f>
        <v>39712022060110142178825</v>
      </c>
      <c r="C2793" s="4" t="s">
        <v>28</v>
      </c>
      <c r="D2793" s="4" t="str">
        <f>"王小慧"</f>
        <v>王小慧</v>
      </c>
      <c r="E2793" s="4" t="str">
        <f t="shared" si="113"/>
        <v>女</v>
      </c>
    </row>
    <row r="2794" spans="1:5" ht="30" customHeight="1">
      <c r="A2794" s="4">
        <v>2792</v>
      </c>
      <c r="B2794" s="4" t="str">
        <f>"39712022060110171678847"</f>
        <v>39712022060110171678847</v>
      </c>
      <c r="C2794" s="4" t="s">
        <v>28</v>
      </c>
      <c r="D2794" s="4" t="str">
        <f>"林芳洪"</f>
        <v>林芳洪</v>
      </c>
      <c r="E2794" s="4" t="str">
        <f t="shared" si="113"/>
        <v>女</v>
      </c>
    </row>
    <row r="2795" spans="1:5" ht="30" customHeight="1">
      <c r="A2795" s="4">
        <v>2793</v>
      </c>
      <c r="B2795" s="4" t="str">
        <f>"39712022060110211678879"</f>
        <v>39712022060110211678879</v>
      </c>
      <c r="C2795" s="4" t="s">
        <v>28</v>
      </c>
      <c r="D2795" s="4" t="str">
        <f>"林贵月"</f>
        <v>林贵月</v>
      </c>
      <c r="E2795" s="4" t="str">
        <f t="shared" si="113"/>
        <v>女</v>
      </c>
    </row>
    <row r="2796" spans="1:5" ht="30" customHeight="1">
      <c r="A2796" s="4">
        <v>2794</v>
      </c>
      <c r="B2796" s="4" t="str">
        <f>"39712022060110212978880"</f>
        <v>39712022060110212978880</v>
      </c>
      <c r="C2796" s="4" t="s">
        <v>28</v>
      </c>
      <c r="D2796" s="4" t="str">
        <f>"林彦敏"</f>
        <v>林彦敏</v>
      </c>
      <c r="E2796" s="4" t="str">
        <f t="shared" si="113"/>
        <v>女</v>
      </c>
    </row>
    <row r="2797" spans="1:5" ht="30" customHeight="1">
      <c r="A2797" s="4">
        <v>2795</v>
      </c>
      <c r="B2797" s="4" t="str">
        <f>"39712022060110262378922"</f>
        <v>39712022060110262378922</v>
      </c>
      <c r="C2797" s="4" t="s">
        <v>28</v>
      </c>
      <c r="D2797" s="4" t="str">
        <f>"林小湾"</f>
        <v>林小湾</v>
      </c>
      <c r="E2797" s="4" t="str">
        <f t="shared" si="113"/>
        <v>女</v>
      </c>
    </row>
    <row r="2798" spans="1:5" ht="30" customHeight="1">
      <c r="A2798" s="4">
        <v>2796</v>
      </c>
      <c r="B2798" s="4" t="str">
        <f>"39712022060110295278953"</f>
        <v>39712022060110295278953</v>
      </c>
      <c r="C2798" s="4" t="s">
        <v>28</v>
      </c>
      <c r="D2798" s="4" t="str">
        <f>"李小晶"</f>
        <v>李小晶</v>
      </c>
      <c r="E2798" s="4" t="str">
        <f t="shared" si="113"/>
        <v>女</v>
      </c>
    </row>
    <row r="2799" spans="1:5" ht="30" customHeight="1">
      <c r="A2799" s="4">
        <v>2797</v>
      </c>
      <c r="B2799" s="4" t="str">
        <f>"39712022060110295478955"</f>
        <v>39712022060110295478955</v>
      </c>
      <c r="C2799" s="4" t="s">
        <v>28</v>
      </c>
      <c r="D2799" s="4" t="str">
        <f>"余明珠"</f>
        <v>余明珠</v>
      </c>
      <c r="E2799" s="4" t="str">
        <f t="shared" si="113"/>
        <v>女</v>
      </c>
    </row>
    <row r="2800" spans="1:5" ht="30" customHeight="1">
      <c r="A2800" s="4">
        <v>2798</v>
      </c>
      <c r="B2800" s="4" t="str">
        <f>"39712022060110314478965"</f>
        <v>39712022060110314478965</v>
      </c>
      <c r="C2800" s="4" t="s">
        <v>28</v>
      </c>
      <c r="D2800" s="4" t="str">
        <f>"羊仙爱"</f>
        <v>羊仙爱</v>
      </c>
      <c r="E2800" s="4" t="str">
        <f t="shared" si="113"/>
        <v>女</v>
      </c>
    </row>
    <row r="2801" spans="1:5" ht="30" customHeight="1">
      <c r="A2801" s="4">
        <v>2799</v>
      </c>
      <c r="B2801" s="4" t="str">
        <f>"39712022060110372879014"</f>
        <v>39712022060110372879014</v>
      </c>
      <c r="C2801" s="4" t="s">
        <v>28</v>
      </c>
      <c r="D2801" s="4" t="str">
        <f>"陈民丽"</f>
        <v>陈民丽</v>
      </c>
      <c r="E2801" s="4" t="str">
        <f t="shared" si="113"/>
        <v>女</v>
      </c>
    </row>
    <row r="2802" spans="1:5" ht="30" customHeight="1">
      <c r="A2802" s="4">
        <v>2800</v>
      </c>
      <c r="B2802" s="4" t="str">
        <f>"39712022060110411779040"</f>
        <v>39712022060110411779040</v>
      </c>
      <c r="C2802" s="4" t="s">
        <v>28</v>
      </c>
      <c r="D2802" s="4" t="str">
        <f>"李巍"</f>
        <v>李巍</v>
      </c>
      <c r="E2802" s="4" t="str">
        <f t="shared" si="113"/>
        <v>女</v>
      </c>
    </row>
    <row r="2803" spans="1:5" ht="30" customHeight="1">
      <c r="A2803" s="4">
        <v>2801</v>
      </c>
      <c r="B2803" s="4" t="str">
        <f>"39712022060110433379058"</f>
        <v>39712022060110433379058</v>
      </c>
      <c r="C2803" s="4" t="s">
        <v>28</v>
      </c>
      <c r="D2803" s="4" t="str">
        <f>"何天娇"</f>
        <v>何天娇</v>
      </c>
      <c r="E2803" s="4" t="str">
        <f t="shared" si="113"/>
        <v>女</v>
      </c>
    </row>
    <row r="2804" spans="1:5" ht="30" customHeight="1">
      <c r="A2804" s="4">
        <v>2802</v>
      </c>
      <c r="B2804" s="4" t="str">
        <f>"39712022060110440579063"</f>
        <v>39712022060110440579063</v>
      </c>
      <c r="C2804" s="4" t="s">
        <v>28</v>
      </c>
      <c r="D2804" s="4" t="str">
        <f>"李吉薇"</f>
        <v>李吉薇</v>
      </c>
      <c r="E2804" s="4" t="str">
        <f t="shared" si="113"/>
        <v>女</v>
      </c>
    </row>
    <row r="2805" spans="1:5" ht="30" customHeight="1">
      <c r="A2805" s="4">
        <v>2803</v>
      </c>
      <c r="B2805" s="4" t="str">
        <f>"39712022060110443979067"</f>
        <v>39712022060110443979067</v>
      </c>
      <c r="C2805" s="4" t="s">
        <v>28</v>
      </c>
      <c r="D2805" s="4" t="str">
        <f>"罗美珠"</f>
        <v>罗美珠</v>
      </c>
      <c r="E2805" s="4" t="str">
        <f t="shared" si="113"/>
        <v>女</v>
      </c>
    </row>
    <row r="2806" spans="1:5" ht="30" customHeight="1">
      <c r="A2806" s="4">
        <v>2804</v>
      </c>
      <c r="B2806" s="4" t="str">
        <f>"39712022060110483179102"</f>
        <v>39712022060110483179102</v>
      </c>
      <c r="C2806" s="4" t="s">
        <v>28</v>
      </c>
      <c r="D2806" s="4" t="str">
        <f>"周吉唤"</f>
        <v>周吉唤</v>
      </c>
      <c r="E2806" s="4" t="str">
        <f t="shared" si="113"/>
        <v>女</v>
      </c>
    </row>
    <row r="2807" spans="1:5" ht="30" customHeight="1">
      <c r="A2807" s="4">
        <v>2805</v>
      </c>
      <c r="B2807" s="4" t="str">
        <f>"39712022060110530279133"</f>
        <v>39712022060110530279133</v>
      </c>
      <c r="C2807" s="4" t="s">
        <v>28</v>
      </c>
      <c r="D2807" s="4" t="str">
        <f>"余桂涛"</f>
        <v>余桂涛</v>
      </c>
      <c r="E2807" s="4" t="str">
        <f aca="true" t="shared" si="114" ref="E2807:E2835">"女"</f>
        <v>女</v>
      </c>
    </row>
    <row r="2808" spans="1:5" ht="30" customHeight="1">
      <c r="A2808" s="4">
        <v>2806</v>
      </c>
      <c r="B2808" s="4" t="str">
        <f>"39712022060110580779174"</f>
        <v>39712022060110580779174</v>
      </c>
      <c r="C2808" s="4" t="s">
        <v>28</v>
      </c>
      <c r="D2808" s="4" t="str">
        <f>"潘美卉"</f>
        <v>潘美卉</v>
      </c>
      <c r="E2808" s="4" t="str">
        <f t="shared" si="114"/>
        <v>女</v>
      </c>
    </row>
    <row r="2809" spans="1:5" ht="30" customHeight="1">
      <c r="A2809" s="4">
        <v>2807</v>
      </c>
      <c r="B2809" s="4" t="str">
        <f>"39712022060110584179179"</f>
        <v>39712022060110584179179</v>
      </c>
      <c r="C2809" s="4" t="s">
        <v>28</v>
      </c>
      <c r="D2809" s="4" t="str">
        <f>"王少换"</f>
        <v>王少换</v>
      </c>
      <c r="E2809" s="4" t="str">
        <f t="shared" si="114"/>
        <v>女</v>
      </c>
    </row>
    <row r="2810" spans="1:5" ht="30" customHeight="1">
      <c r="A2810" s="4">
        <v>2808</v>
      </c>
      <c r="B2810" s="4" t="str">
        <f>"39712022060111003179194"</f>
        <v>39712022060111003179194</v>
      </c>
      <c r="C2810" s="4" t="s">
        <v>28</v>
      </c>
      <c r="D2810" s="4" t="str">
        <f>"许芳"</f>
        <v>许芳</v>
      </c>
      <c r="E2810" s="4" t="str">
        <f t="shared" si="114"/>
        <v>女</v>
      </c>
    </row>
    <row r="2811" spans="1:5" ht="30" customHeight="1">
      <c r="A2811" s="4">
        <v>2809</v>
      </c>
      <c r="B2811" s="4" t="str">
        <f>"39712022060111015779206"</f>
        <v>39712022060111015779206</v>
      </c>
      <c r="C2811" s="4" t="s">
        <v>28</v>
      </c>
      <c r="D2811" s="4" t="str">
        <f>"王芷晴"</f>
        <v>王芷晴</v>
      </c>
      <c r="E2811" s="4" t="str">
        <f t="shared" si="114"/>
        <v>女</v>
      </c>
    </row>
    <row r="2812" spans="1:5" ht="30" customHeight="1">
      <c r="A2812" s="4">
        <v>2810</v>
      </c>
      <c r="B2812" s="4" t="str">
        <f>"39712022060111033079218"</f>
        <v>39712022060111033079218</v>
      </c>
      <c r="C2812" s="4" t="s">
        <v>28</v>
      </c>
      <c r="D2812" s="4" t="str">
        <f>"陈东琳"</f>
        <v>陈东琳</v>
      </c>
      <c r="E2812" s="4" t="str">
        <f t="shared" si="114"/>
        <v>女</v>
      </c>
    </row>
    <row r="2813" spans="1:5" ht="30" customHeight="1">
      <c r="A2813" s="4">
        <v>2811</v>
      </c>
      <c r="B2813" s="4" t="str">
        <f>"39712022060111035879220"</f>
        <v>39712022060111035879220</v>
      </c>
      <c r="C2813" s="4" t="s">
        <v>28</v>
      </c>
      <c r="D2813" s="4" t="str">
        <f>"黄秀紫"</f>
        <v>黄秀紫</v>
      </c>
      <c r="E2813" s="4" t="str">
        <f t="shared" si="114"/>
        <v>女</v>
      </c>
    </row>
    <row r="2814" spans="1:5" ht="30" customHeight="1">
      <c r="A2814" s="4">
        <v>2812</v>
      </c>
      <c r="B2814" s="4" t="str">
        <f>"39712022060111080679261"</f>
        <v>39712022060111080679261</v>
      </c>
      <c r="C2814" s="4" t="s">
        <v>28</v>
      </c>
      <c r="D2814" s="4" t="str">
        <f>"邱文倩"</f>
        <v>邱文倩</v>
      </c>
      <c r="E2814" s="4" t="str">
        <f t="shared" si="114"/>
        <v>女</v>
      </c>
    </row>
    <row r="2815" spans="1:5" ht="30" customHeight="1">
      <c r="A2815" s="4">
        <v>2813</v>
      </c>
      <c r="B2815" s="4" t="str">
        <f>"39712022060111102579282"</f>
        <v>39712022060111102579282</v>
      </c>
      <c r="C2815" s="4" t="s">
        <v>28</v>
      </c>
      <c r="D2815" s="4" t="str">
        <f>"罗玉"</f>
        <v>罗玉</v>
      </c>
      <c r="E2815" s="4" t="str">
        <f t="shared" si="114"/>
        <v>女</v>
      </c>
    </row>
    <row r="2816" spans="1:5" ht="30" customHeight="1">
      <c r="A2816" s="4">
        <v>2814</v>
      </c>
      <c r="B2816" s="4" t="str">
        <f>"39712022060111104079284"</f>
        <v>39712022060111104079284</v>
      </c>
      <c r="C2816" s="4" t="s">
        <v>28</v>
      </c>
      <c r="D2816" s="4" t="str">
        <f>"王雅梅"</f>
        <v>王雅梅</v>
      </c>
      <c r="E2816" s="4" t="str">
        <f t="shared" si="114"/>
        <v>女</v>
      </c>
    </row>
    <row r="2817" spans="1:5" ht="30" customHeight="1">
      <c r="A2817" s="4">
        <v>2815</v>
      </c>
      <c r="B2817" s="4" t="str">
        <f>"39712022060111105279286"</f>
        <v>39712022060111105279286</v>
      </c>
      <c r="C2817" s="4" t="s">
        <v>28</v>
      </c>
      <c r="D2817" s="4" t="str">
        <f>"林秋怡"</f>
        <v>林秋怡</v>
      </c>
      <c r="E2817" s="4" t="str">
        <f t="shared" si="114"/>
        <v>女</v>
      </c>
    </row>
    <row r="2818" spans="1:5" ht="30" customHeight="1">
      <c r="A2818" s="4">
        <v>2816</v>
      </c>
      <c r="B2818" s="4" t="str">
        <f>"39712022060111141979306"</f>
        <v>39712022060111141979306</v>
      </c>
      <c r="C2818" s="4" t="s">
        <v>28</v>
      </c>
      <c r="D2818" s="4" t="str">
        <f>"黄天慧"</f>
        <v>黄天慧</v>
      </c>
      <c r="E2818" s="4" t="str">
        <f t="shared" si="114"/>
        <v>女</v>
      </c>
    </row>
    <row r="2819" spans="1:5" ht="30" customHeight="1">
      <c r="A2819" s="4">
        <v>2817</v>
      </c>
      <c r="B2819" s="4" t="str">
        <f>"39712022060111153379318"</f>
        <v>39712022060111153379318</v>
      </c>
      <c r="C2819" s="4" t="s">
        <v>28</v>
      </c>
      <c r="D2819" s="4" t="str">
        <f>"杨海萍"</f>
        <v>杨海萍</v>
      </c>
      <c r="E2819" s="4" t="str">
        <f t="shared" si="114"/>
        <v>女</v>
      </c>
    </row>
    <row r="2820" spans="1:5" ht="30" customHeight="1">
      <c r="A2820" s="4">
        <v>2818</v>
      </c>
      <c r="B2820" s="4" t="str">
        <f>"39712022060111173779336"</f>
        <v>39712022060111173779336</v>
      </c>
      <c r="C2820" s="4" t="s">
        <v>28</v>
      </c>
      <c r="D2820" s="4" t="str">
        <f>"王利佳"</f>
        <v>王利佳</v>
      </c>
      <c r="E2820" s="4" t="str">
        <f t="shared" si="114"/>
        <v>女</v>
      </c>
    </row>
    <row r="2821" spans="1:5" ht="30" customHeight="1">
      <c r="A2821" s="4">
        <v>2819</v>
      </c>
      <c r="B2821" s="4" t="str">
        <f>"39712022060111174679337"</f>
        <v>39712022060111174679337</v>
      </c>
      <c r="C2821" s="4" t="s">
        <v>28</v>
      </c>
      <c r="D2821" s="4" t="str">
        <f>"秦美玲"</f>
        <v>秦美玲</v>
      </c>
      <c r="E2821" s="4" t="str">
        <f t="shared" si="114"/>
        <v>女</v>
      </c>
    </row>
    <row r="2822" spans="1:5" ht="30" customHeight="1">
      <c r="A2822" s="4">
        <v>2820</v>
      </c>
      <c r="B2822" s="4" t="str">
        <f>"39712022060111204679359"</f>
        <v>39712022060111204679359</v>
      </c>
      <c r="C2822" s="4" t="s">
        <v>28</v>
      </c>
      <c r="D2822" s="4" t="str">
        <f>"曾秀桃"</f>
        <v>曾秀桃</v>
      </c>
      <c r="E2822" s="4" t="str">
        <f t="shared" si="114"/>
        <v>女</v>
      </c>
    </row>
    <row r="2823" spans="1:5" ht="30" customHeight="1">
      <c r="A2823" s="4">
        <v>2821</v>
      </c>
      <c r="B2823" s="4" t="str">
        <f>"39712022060111220779369"</f>
        <v>39712022060111220779369</v>
      </c>
      <c r="C2823" s="4" t="s">
        <v>28</v>
      </c>
      <c r="D2823" s="4" t="str">
        <f>"卓小倩"</f>
        <v>卓小倩</v>
      </c>
      <c r="E2823" s="4" t="str">
        <f t="shared" si="114"/>
        <v>女</v>
      </c>
    </row>
    <row r="2824" spans="1:5" ht="30" customHeight="1">
      <c r="A2824" s="4">
        <v>2822</v>
      </c>
      <c r="B2824" s="4" t="str">
        <f>"39712022060111241079383"</f>
        <v>39712022060111241079383</v>
      </c>
      <c r="C2824" s="4" t="s">
        <v>28</v>
      </c>
      <c r="D2824" s="4" t="str">
        <f>"陈巧雯"</f>
        <v>陈巧雯</v>
      </c>
      <c r="E2824" s="4" t="str">
        <f t="shared" si="114"/>
        <v>女</v>
      </c>
    </row>
    <row r="2825" spans="1:5" ht="30" customHeight="1">
      <c r="A2825" s="4">
        <v>2823</v>
      </c>
      <c r="B2825" s="4" t="str">
        <f>"39712022060111253379392"</f>
        <v>39712022060111253379392</v>
      </c>
      <c r="C2825" s="4" t="s">
        <v>28</v>
      </c>
      <c r="D2825" s="4" t="str">
        <f>"王少红"</f>
        <v>王少红</v>
      </c>
      <c r="E2825" s="4" t="str">
        <f t="shared" si="114"/>
        <v>女</v>
      </c>
    </row>
    <row r="2826" spans="1:5" ht="30" customHeight="1">
      <c r="A2826" s="4">
        <v>2824</v>
      </c>
      <c r="B2826" s="4" t="str">
        <f>"39712022060111274179407"</f>
        <v>39712022060111274179407</v>
      </c>
      <c r="C2826" s="4" t="s">
        <v>28</v>
      </c>
      <c r="D2826" s="4" t="str">
        <f>"黄琴瑛"</f>
        <v>黄琴瑛</v>
      </c>
      <c r="E2826" s="4" t="str">
        <f t="shared" si="114"/>
        <v>女</v>
      </c>
    </row>
    <row r="2827" spans="1:5" ht="30" customHeight="1">
      <c r="A2827" s="4">
        <v>2825</v>
      </c>
      <c r="B2827" s="4" t="str">
        <f>"39712022060111292179418"</f>
        <v>39712022060111292179418</v>
      </c>
      <c r="C2827" s="4" t="s">
        <v>28</v>
      </c>
      <c r="D2827" s="4" t="str">
        <f>"王海兰"</f>
        <v>王海兰</v>
      </c>
      <c r="E2827" s="4" t="str">
        <f t="shared" si="114"/>
        <v>女</v>
      </c>
    </row>
    <row r="2828" spans="1:5" ht="30" customHeight="1">
      <c r="A2828" s="4">
        <v>2826</v>
      </c>
      <c r="B2828" s="4" t="str">
        <f>"39712022060111300579429"</f>
        <v>39712022060111300579429</v>
      </c>
      <c r="C2828" s="4" t="s">
        <v>28</v>
      </c>
      <c r="D2828" s="4" t="str">
        <f>"邹强"</f>
        <v>邹强</v>
      </c>
      <c r="E2828" s="4" t="str">
        <f t="shared" si="114"/>
        <v>女</v>
      </c>
    </row>
    <row r="2829" spans="1:5" ht="30" customHeight="1">
      <c r="A2829" s="4">
        <v>2827</v>
      </c>
      <c r="B2829" s="4" t="str">
        <f>"39712022060111314179448"</f>
        <v>39712022060111314179448</v>
      </c>
      <c r="C2829" s="4" t="s">
        <v>28</v>
      </c>
      <c r="D2829" s="4" t="str">
        <f>"吴盈盈"</f>
        <v>吴盈盈</v>
      </c>
      <c r="E2829" s="4" t="str">
        <f t="shared" si="114"/>
        <v>女</v>
      </c>
    </row>
    <row r="2830" spans="1:5" ht="30" customHeight="1">
      <c r="A2830" s="4">
        <v>2828</v>
      </c>
      <c r="B2830" s="4" t="str">
        <f>"39712022060111315879451"</f>
        <v>39712022060111315879451</v>
      </c>
      <c r="C2830" s="4" t="s">
        <v>28</v>
      </c>
      <c r="D2830" s="4" t="str">
        <f>"符虹虹"</f>
        <v>符虹虹</v>
      </c>
      <c r="E2830" s="4" t="str">
        <f t="shared" si="114"/>
        <v>女</v>
      </c>
    </row>
    <row r="2831" spans="1:5" ht="30" customHeight="1">
      <c r="A2831" s="4">
        <v>2829</v>
      </c>
      <c r="B2831" s="4" t="str">
        <f>"39712022060111321279452"</f>
        <v>39712022060111321279452</v>
      </c>
      <c r="C2831" s="4" t="s">
        <v>28</v>
      </c>
      <c r="D2831" s="4" t="str">
        <f>"方露霖"</f>
        <v>方露霖</v>
      </c>
      <c r="E2831" s="4" t="str">
        <f t="shared" si="114"/>
        <v>女</v>
      </c>
    </row>
    <row r="2832" spans="1:5" ht="30" customHeight="1">
      <c r="A2832" s="4">
        <v>2830</v>
      </c>
      <c r="B2832" s="4" t="str">
        <f>"39712022060111332079458"</f>
        <v>39712022060111332079458</v>
      </c>
      <c r="C2832" s="4" t="s">
        <v>28</v>
      </c>
      <c r="D2832" s="4" t="str">
        <f>"莫海元"</f>
        <v>莫海元</v>
      </c>
      <c r="E2832" s="4" t="str">
        <f t="shared" si="114"/>
        <v>女</v>
      </c>
    </row>
    <row r="2833" spans="1:5" ht="30" customHeight="1">
      <c r="A2833" s="4">
        <v>2831</v>
      </c>
      <c r="B2833" s="4" t="str">
        <f>"39712022060111395379499"</f>
        <v>39712022060111395379499</v>
      </c>
      <c r="C2833" s="4" t="s">
        <v>28</v>
      </c>
      <c r="D2833" s="4" t="str">
        <f>"曾维倩"</f>
        <v>曾维倩</v>
      </c>
      <c r="E2833" s="4" t="str">
        <f t="shared" si="114"/>
        <v>女</v>
      </c>
    </row>
    <row r="2834" spans="1:5" ht="30" customHeight="1">
      <c r="A2834" s="4">
        <v>2832</v>
      </c>
      <c r="B2834" s="4" t="str">
        <f>"39712022060111440979517"</f>
        <v>39712022060111440979517</v>
      </c>
      <c r="C2834" s="4" t="s">
        <v>28</v>
      </c>
      <c r="D2834" s="4" t="str">
        <f>"李小琴"</f>
        <v>李小琴</v>
      </c>
      <c r="E2834" s="4" t="str">
        <f t="shared" si="114"/>
        <v>女</v>
      </c>
    </row>
    <row r="2835" spans="1:5" ht="30" customHeight="1">
      <c r="A2835" s="4">
        <v>2833</v>
      </c>
      <c r="B2835" s="4" t="str">
        <f>"39712022060111452079522"</f>
        <v>39712022060111452079522</v>
      </c>
      <c r="C2835" s="4" t="s">
        <v>28</v>
      </c>
      <c r="D2835" s="4" t="str">
        <f>"邢诗砚"</f>
        <v>邢诗砚</v>
      </c>
      <c r="E2835" s="4" t="str">
        <f t="shared" si="114"/>
        <v>女</v>
      </c>
    </row>
    <row r="2836" spans="1:5" ht="30" customHeight="1">
      <c r="A2836" s="4">
        <v>2834</v>
      </c>
      <c r="B2836" s="4" t="str">
        <f>"39712022060111571279584"</f>
        <v>39712022060111571279584</v>
      </c>
      <c r="C2836" s="4" t="s">
        <v>28</v>
      </c>
      <c r="D2836" s="4" t="str">
        <f>"唐传"</f>
        <v>唐传</v>
      </c>
      <c r="E2836" s="4" t="str">
        <f>"男"</f>
        <v>男</v>
      </c>
    </row>
    <row r="2837" spans="1:5" ht="30" customHeight="1">
      <c r="A2837" s="4">
        <v>2835</v>
      </c>
      <c r="B2837" s="4" t="str">
        <f>"39712022060111583879592"</f>
        <v>39712022060111583879592</v>
      </c>
      <c r="C2837" s="4" t="s">
        <v>28</v>
      </c>
      <c r="D2837" s="4" t="str">
        <f>"冯海颜"</f>
        <v>冯海颜</v>
      </c>
      <c r="E2837" s="4" t="str">
        <f aca="true" t="shared" si="115" ref="E2837:E2862">"女"</f>
        <v>女</v>
      </c>
    </row>
    <row r="2838" spans="1:5" ht="30" customHeight="1">
      <c r="A2838" s="4">
        <v>2836</v>
      </c>
      <c r="B2838" s="4" t="str">
        <f>"39712022060111592579594"</f>
        <v>39712022060111592579594</v>
      </c>
      <c r="C2838" s="4" t="s">
        <v>28</v>
      </c>
      <c r="D2838" s="4" t="str">
        <f>"林慧慧"</f>
        <v>林慧慧</v>
      </c>
      <c r="E2838" s="4" t="str">
        <f t="shared" si="115"/>
        <v>女</v>
      </c>
    </row>
    <row r="2839" spans="1:5" ht="30" customHeight="1">
      <c r="A2839" s="4">
        <v>2837</v>
      </c>
      <c r="B2839" s="4" t="str">
        <f>"39712022060112011279604"</f>
        <v>39712022060112011279604</v>
      </c>
      <c r="C2839" s="4" t="s">
        <v>28</v>
      </c>
      <c r="D2839" s="4" t="str">
        <f>"陈敏"</f>
        <v>陈敏</v>
      </c>
      <c r="E2839" s="4" t="str">
        <f t="shared" si="115"/>
        <v>女</v>
      </c>
    </row>
    <row r="2840" spans="1:5" ht="30" customHeight="1">
      <c r="A2840" s="4">
        <v>2838</v>
      </c>
      <c r="B2840" s="4" t="str">
        <f>"39712022060112071879635"</f>
        <v>39712022060112071879635</v>
      </c>
      <c r="C2840" s="4" t="s">
        <v>28</v>
      </c>
      <c r="D2840" s="4" t="str">
        <f>"林仙"</f>
        <v>林仙</v>
      </c>
      <c r="E2840" s="4" t="str">
        <f t="shared" si="115"/>
        <v>女</v>
      </c>
    </row>
    <row r="2841" spans="1:5" ht="30" customHeight="1">
      <c r="A2841" s="4">
        <v>2839</v>
      </c>
      <c r="B2841" s="4" t="str">
        <f>"39712022060112121979664"</f>
        <v>39712022060112121979664</v>
      </c>
      <c r="C2841" s="4" t="s">
        <v>28</v>
      </c>
      <c r="D2841" s="4" t="str">
        <f>"陈红艳"</f>
        <v>陈红艳</v>
      </c>
      <c r="E2841" s="4" t="str">
        <f t="shared" si="115"/>
        <v>女</v>
      </c>
    </row>
    <row r="2842" spans="1:5" ht="30" customHeight="1">
      <c r="A2842" s="4">
        <v>2840</v>
      </c>
      <c r="B2842" s="4" t="str">
        <f>"39712022060112133279669"</f>
        <v>39712022060112133279669</v>
      </c>
      <c r="C2842" s="4" t="s">
        <v>28</v>
      </c>
      <c r="D2842" s="4" t="str">
        <f>"王桐"</f>
        <v>王桐</v>
      </c>
      <c r="E2842" s="4" t="str">
        <f t="shared" si="115"/>
        <v>女</v>
      </c>
    </row>
    <row r="2843" spans="1:5" ht="30" customHeight="1">
      <c r="A2843" s="4">
        <v>2841</v>
      </c>
      <c r="B2843" s="4" t="str">
        <f>"39712022060112173079697"</f>
        <v>39712022060112173079697</v>
      </c>
      <c r="C2843" s="4" t="s">
        <v>28</v>
      </c>
      <c r="D2843" s="4" t="str">
        <f>"黄金怡"</f>
        <v>黄金怡</v>
      </c>
      <c r="E2843" s="4" t="str">
        <f t="shared" si="115"/>
        <v>女</v>
      </c>
    </row>
    <row r="2844" spans="1:5" ht="30" customHeight="1">
      <c r="A2844" s="4">
        <v>2842</v>
      </c>
      <c r="B2844" s="4" t="str">
        <f>"39712022060112194379708"</f>
        <v>39712022060112194379708</v>
      </c>
      <c r="C2844" s="4" t="s">
        <v>28</v>
      </c>
      <c r="D2844" s="4" t="str">
        <f>"陈洁"</f>
        <v>陈洁</v>
      </c>
      <c r="E2844" s="4" t="str">
        <f t="shared" si="115"/>
        <v>女</v>
      </c>
    </row>
    <row r="2845" spans="1:5" ht="30" customHeight="1">
      <c r="A2845" s="4">
        <v>2843</v>
      </c>
      <c r="B2845" s="4" t="str">
        <f>"39712022060112231379721"</f>
        <v>39712022060112231379721</v>
      </c>
      <c r="C2845" s="4" t="s">
        <v>28</v>
      </c>
      <c r="D2845" s="4" t="str">
        <f>"黎兴芳"</f>
        <v>黎兴芳</v>
      </c>
      <c r="E2845" s="4" t="str">
        <f t="shared" si="115"/>
        <v>女</v>
      </c>
    </row>
    <row r="2846" spans="1:5" ht="30" customHeight="1">
      <c r="A2846" s="4">
        <v>2844</v>
      </c>
      <c r="B2846" s="4" t="str">
        <f>"39712022060112261379735"</f>
        <v>39712022060112261379735</v>
      </c>
      <c r="C2846" s="4" t="s">
        <v>28</v>
      </c>
      <c r="D2846" s="4" t="str">
        <f>"周翠"</f>
        <v>周翠</v>
      </c>
      <c r="E2846" s="4" t="str">
        <f t="shared" si="115"/>
        <v>女</v>
      </c>
    </row>
    <row r="2847" spans="1:5" ht="30" customHeight="1">
      <c r="A2847" s="4">
        <v>2845</v>
      </c>
      <c r="B2847" s="4" t="str">
        <f>"39712022060112265079737"</f>
        <v>39712022060112265079737</v>
      </c>
      <c r="C2847" s="4" t="s">
        <v>28</v>
      </c>
      <c r="D2847" s="4" t="str">
        <f>"钱小云"</f>
        <v>钱小云</v>
      </c>
      <c r="E2847" s="4" t="str">
        <f t="shared" si="115"/>
        <v>女</v>
      </c>
    </row>
    <row r="2848" spans="1:5" ht="30" customHeight="1">
      <c r="A2848" s="4">
        <v>2846</v>
      </c>
      <c r="B2848" s="4" t="str">
        <f>"39712022060112314379768"</f>
        <v>39712022060112314379768</v>
      </c>
      <c r="C2848" s="4" t="s">
        <v>28</v>
      </c>
      <c r="D2848" s="4" t="str">
        <f>"申怡雯"</f>
        <v>申怡雯</v>
      </c>
      <c r="E2848" s="4" t="str">
        <f t="shared" si="115"/>
        <v>女</v>
      </c>
    </row>
    <row r="2849" spans="1:5" ht="30" customHeight="1">
      <c r="A2849" s="4">
        <v>2847</v>
      </c>
      <c r="B2849" s="4" t="str">
        <f>"39712022060112341379787"</f>
        <v>39712022060112341379787</v>
      </c>
      <c r="C2849" s="4" t="s">
        <v>28</v>
      </c>
      <c r="D2849" s="4" t="str">
        <f>"张倩颖"</f>
        <v>张倩颖</v>
      </c>
      <c r="E2849" s="4" t="str">
        <f t="shared" si="115"/>
        <v>女</v>
      </c>
    </row>
    <row r="2850" spans="1:5" ht="30" customHeight="1">
      <c r="A2850" s="4">
        <v>2848</v>
      </c>
      <c r="B2850" s="4" t="str">
        <f>"39712022060112410179819"</f>
        <v>39712022060112410179819</v>
      </c>
      <c r="C2850" s="4" t="s">
        <v>28</v>
      </c>
      <c r="D2850" s="4" t="str">
        <f>"唐聪霞"</f>
        <v>唐聪霞</v>
      </c>
      <c r="E2850" s="4" t="str">
        <f t="shared" si="115"/>
        <v>女</v>
      </c>
    </row>
    <row r="2851" spans="1:5" ht="30" customHeight="1">
      <c r="A2851" s="4">
        <v>2849</v>
      </c>
      <c r="B2851" s="4" t="str">
        <f>"39712022060112421779825"</f>
        <v>39712022060112421779825</v>
      </c>
      <c r="C2851" s="4" t="s">
        <v>28</v>
      </c>
      <c r="D2851" s="4" t="str">
        <f>"陈明媚"</f>
        <v>陈明媚</v>
      </c>
      <c r="E2851" s="4" t="str">
        <f t="shared" si="115"/>
        <v>女</v>
      </c>
    </row>
    <row r="2852" spans="1:5" ht="30" customHeight="1">
      <c r="A2852" s="4">
        <v>2850</v>
      </c>
      <c r="B2852" s="4" t="str">
        <f>"39712022060112425379828"</f>
        <v>39712022060112425379828</v>
      </c>
      <c r="C2852" s="4" t="s">
        <v>28</v>
      </c>
      <c r="D2852" s="4" t="str">
        <f>"叶欣媛"</f>
        <v>叶欣媛</v>
      </c>
      <c r="E2852" s="4" t="str">
        <f t="shared" si="115"/>
        <v>女</v>
      </c>
    </row>
    <row r="2853" spans="1:5" ht="30" customHeight="1">
      <c r="A2853" s="4">
        <v>2851</v>
      </c>
      <c r="B2853" s="4" t="str">
        <f>"39712022060112482879856"</f>
        <v>39712022060112482879856</v>
      </c>
      <c r="C2853" s="4" t="s">
        <v>28</v>
      </c>
      <c r="D2853" s="4" t="str">
        <f>"施微"</f>
        <v>施微</v>
      </c>
      <c r="E2853" s="4" t="str">
        <f t="shared" si="115"/>
        <v>女</v>
      </c>
    </row>
    <row r="2854" spans="1:5" ht="30" customHeight="1">
      <c r="A2854" s="4">
        <v>2852</v>
      </c>
      <c r="B2854" s="4" t="str">
        <f>"39712022060112515679878"</f>
        <v>39712022060112515679878</v>
      </c>
      <c r="C2854" s="4" t="s">
        <v>28</v>
      </c>
      <c r="D2854" s="4" t="str">
        <f>"卢宛芳"</f>
        <v>卢宛芳</v>
      </c>
      <c r="E2854" s="4" t="str">
        <f t="shared" si="115"/>
        <v>女</v>
      </c>
    </row>
    <row r="2855" spans="1:5" ht="30" customHeight="1">
      <c r="A2855" s="4">
        <v>2853</v>
      </c>
      <c r="B2855" s="4" t="str">
        <f>"39712022060112525879883"</f>
        <v>39712022060112525879883</v>
      </c>
      <c r="C2855" s="4" t="s">
        <v>28</v>
      </c>
      <c r="D2855" s="4" t="str">
        <f>"许腾尹"</f>
        <v>许腾尹</v>
      </c>
      <c r="E2855" s="4" t="str">
        <f t="shared" si="115"/>
        <v>女</v>
      </c>
    </row>
    <row r="2856" spans="1:5" ht="30" customHeight="1">
      <c r="A2856" s="4">
        <v>2854</v>
      </c>
      <c r="B2856" s="4" t="str">
        <f>"39712022060112573479905"</f>
        <v>39712022060112573479905</v>
      </c>
      <c r="C2856" s="4" t="s">
        <v>28</v>
      </c>
      <c r="D2856" s="4" t="str">
        <f>"张露予"</f>
        <v>张露予</v>
      </c>
      <c r="E2856" s="4" t="str">
        <f t="shared" si="115"/>
        <v>女</v>
      </c>
    </row>
    <row r="2857" spans="1:5" ht="30" customHeight="1">
      <c r="A2857" s="4">
        <v>2855</v>
      </c>
      <c r="B2857" s="4" t="str">
        <f>"39712022060112573779906"</f>
        <v>39712022060112573779906</v>
      </c>
      <c r="C2857" s="4" t="s">
        <v>28</v>
      </c>
      <c r="D2857" s="4" t="str">
        <f>"龙雨萌"</f>
        <v>龙雨萌</v>
      </c>
      <c r="E2857" s="4" t="str">
        <f t="shared" si="115"/>
        <v>女</v>
      </c>
    </row>
    <row r="2858" spans="1:5" ht="30" customHeight="1">
      <c r="A2858" s="4">
        <v>2856</v>
      </c>
      <c r="B2858" s="4" t="str">
        <f>"39712022060113022179929"</f>
        <v>39712022060113022179929</v>
      </c>
      <c r="C2858" s="4" t="s">
        <v>28</v>
      </c>
      <c r="D2858" s="4" t="str">
        <f>"赫英喆"</f>
        <v>赫英喆</v>
      </c>
      <c r="E2858" s="4" t="str">
        <f t="shared" si="115"/>
        <v>女</v>
      </c>
    </row>
    <row r="2859" spans="1:5" ht="30" customHeight="1">
      <c r="A2859" s="4">
        <v>2857</v>
      </c>
      <c r="B2859" s="4" t="str">
        <f>"39712022060113052479948"</f>
        <v>39712022060113052479948</v>
      </c>
      <c r="C2859" s="4" t="s">
        <v>28</v>
      </c>
      <c r="D2859" s="4" t="str">
        <f>"郑婷婷"</f>
        <v>郑婷婷</v>
      </c>
      <c r="E2859" s="4" t="str">
        <f t="shared" si="115"/>
        <v>女</v>
      </c>
    </row>
    <row r="2860" spans="1:5" ht="30" customHeight="1">
      <c r="A2860" s="4">
        <v>2858</v>
      </c>
      <c r="B2860" s="4" t="str">
        <f>"39712022060113115179976"</f>
        <v>39712022060113115179976</v>
      </c>
      <c r="C2860" s="4" t="s">
        <v>28</v>
      </c>
      <c r="D2860" s="4" t="str">
        <f>"林本平"</f>
        <v>林本平</v>
      </c>
      <c r="E2860" s="4" t="str">
        <f t="shared" si="115"/>
        <v>女</v>
      </c>
    </row>
    <row r="2861" spans="1:5" ht="30" customHeight="1">
      <c r="A2861" s="4">
        <v>2859</v>
      </c>
      <c r="B2861" s="4" t="str">
        <f>"39712022060113181180004"</f>
        <v>39712022060113181180004</v>
      </c>
      <c r="C2861" s="4" t="s">
        <v>28</v>
      </c>
      <c r="D2861" s="4" t="str">
        <f>"张鑫"</f>
        <v>张鑫</v>
      </c>
      <c r="E2861" s="4" t="str">
        <f t="shared" si="115"/>
        <v>女</v>
      </c>
    </row>
    <row r="2862" spans="1:5" ht="30" customHeight="1">
      <c r="A2862" s="4">
        <v>2860</v>
      </c>
      <c r="B2862" s="4" t="str">
        <f>"39712022060113301080058"</f>
        <v>39712022060113301080058</v>
      </c>
      <c r="C2862" s="4" t="s">
        <v>28</v>
      </c>
      <c r="D2862" s="4" t="str">
        <f>"潘晓虹"</f>
        <v>潘晓虹</v>
      </c>
      <c r="E2862" s="4" t="str">
        <f t="shared" si="115"/>
        <v>女</v>
      </c>
    </row>
    <row r="2863" spans="1:5" ht="30" customHeight="1">
      <c r="A2863" s="4">
        <v>2861</v>
      </c>
      <c r="B2863" s="4" t="str">
        <f>"39712022060113311280063"</f>
        <v>39712022060113311280063</v>
      </c>
      <c r="C2863" s="4" t="s">
        <v>28</v>
      </c>
      <c r="D2863" s="4" t="str">
        <f>"王义平"</f>
        <v>王义平</v>
      </c>
      <c r="E2863" s="4" t="str">
        <f>"男"</f>
        <v>男</v>
      </c>
    </row>
    <row r="2864" spans="1:5" ht="30" customHeight="1">
      <c r="A2864" s="4">
        <v>2862</v>
      </c>
      <c r="B2864" s="4" t="str">
        <f>"39712022060113331380075"</f>
        <v>39712022060113331380075</v>
      </c>
      <c r="C2864" s="4" t="s">
        <v>28</v>
      </c>
      <c r="D2864" s="4" t="str">
        <f>"吴艺洁"</f>
        <v>吴艺洁</v>
      </c>
      <c r="E2864" s="4" t="str">
        <f aca="true" t="shared" si="116" ref="E2864:E2902">"女"</f>
        <v>女</v>
      </c>
    </row>
    <row r="2865" spans="1:5" ht="30" customHeight="1">
      <c r="A2865" s="4">
        <v>2863</v>
      </c>
      <c r="B2865" s="4" t="str">
        <f>"39712022060113340880079"</f>
        <v>39712022060113340880079</v>
      </c>
      <c r="C2865" s="4" t="s">
        <v>28</v>
      </c>
      <c r="D2865" s="4" t="str">
        <f>"冯露"</f>
        <v>冯露</v>
      </c>
      <c r="E2865" s="4" t="str">
        <f t="shared" si="116"/>
        <v>女</v>
      </c>
    </row>
    <row r="2866" spans="1:5" ht="30" customHeight="1">
      <c r="A2866" s="4">
        <v>2864</v>
      </c>
      <c r="B2866" s="4" t="str">
        <f>"39712022060113420180115"</f>
        <v>39712022060113420180115</v>
      </c>
      <c r="C2866" s="4" t="s">
        <v>28</v>
      </c>
      <c r="D2866" s="4" t="str">
        <f>"林声君"</f>
        <v>林声君</v>
      </c>
      <c r="E2866" s="4" t="str">
        <f t="shared" si="116"/>
        <v>女</v>
      </c>
    </row>
    <row r="2867" spans="1:5" ht="30" customHeight="1">
      <c r="A2867" s="4">
        <v>2865</v>
      </c>
      <c r="B2867" s="4" t="str">
        <f>"39712022060113445980124"</f>
        <v>39712022060113445980124</v>
      </c>
      <c r="C2867" s="4" t="s">
        <v>28</v>
      </c>
      <c r="D2867" s="4" t="str">
        <f>"符文丽"</f>
        <v>符文丽</v>
      </c>
      <c r="E2867" s="4" t="str">
        <f t="shared" si="116"/>
        <v>女</v>
      </c>
    </row>
    <row r="2868" spans="1:5" ht="30" customHeight="1">
      <c r="A2868" s="4">
        <v>2866</v>
      </c>
      <c r="B2868" s="4" t="str">
        <f>"39712022060113543180153"</f>
        <v>39712022060113543180153</v>
      </c>
      <c r="C2868" s="4" t="s">
        <v>28</v>
      </c>
      <c r="D2868" s="4" t="str">
        <f>"成桂丹"</f>
        <v>成桂丹</v>
      </c>
      <c r="E2868" s="4" t="str">
        <f t="shared" si="116"/>
        <v>女</v>
      </c>
    </row>
    <row r="2869" spans="1:5" ht="30" customHeight="1">
      <c r="A2869" s="4">
        <v>2867</v>
      </c>
      <c r="B2869" s="4" t="str">
        <f>"39712022060113552880155"</f>
        <v>39712022060113552880155</v>
      </c>
      <c r="C2869" s="4" t="s">
        <v>28</v>
      </c>
      <c r="D2869" s="4" t="str">
        <f>"高雅婷"</f>
        <v>高雅婷</v>
      </c>
      <c r="E2869" s="4" t="str">
        <f t="shared" si="116"/>
        <v>女</v>
      </c>
    </row>
    <row r="2870" spans="1:5" ht="30" customHeight="1">
      <c r="A2870" s="4">
        <v>2868</v>
      </c>
      <c r="B2870" s="4" t="str">
        <f>"39712022060114041380182"</f>
        <v>39712022060114041380182</v>
      </c>
      <c r="C2870" s="4" t="s">
        <v>28</v>
      </c>
      <c r="D2870" s="4" t="str">
        <f>"黄江南"</f>
        <v>黄江南</v>
      </c>
      <c r="E2870" s="4" t="str">
        <f t="shared" si="116"/>
        <v>女</v>
      </c>
    </row>
    <row r="2871" spans="1:5" ht="30" customHeight="1">
      <c r="A2871" s="4">
        <v>2869</v>
      </c>
      <c r="B2871" s="4" t="str">
        <f>"39712022060114074680196"</f>
        <v>39712022060114074680196</v>
      </c>
      <c r="C2871" s="4" t="s">
        <v>28</v>
      </c>
      <c r="D2871" s="4" t="str">
        <f>"卢张连"</f>
        <v>卢张连</v>
      </c>
      <c r="E2871" s="4" t="str">
        <f t="shared" si="116"/>
        <v>女</v>
      </c>
    </row>
    <row r="2872" spans="1:5" ht="30" customHeight="1">
      <c r="A2872" s="4">
        <v>2870</v>
      </c>
      <c r="B2872" s="4" t="str">
        <f>"39712022060114083480203"</f>
        <v>39712022060114083480203</v>
      </c>
      <c r="C2872" s="4" t="s">
        <v>28</v>
      </c>
      <c r="D2872" s="4" t="str">
        <f>"周瑾"</f>
        <v>周瑾</v>
      </c>
      <c r="E2872" s="4" t="str">
        <f t="shared" si="116"/>
        <v>女</v>
      </c>
    </row>
    <row r="2873" spans="1:5" ht="30" customHeight="1">
      <c r="A2873" s="4">
        <v>2871</v>
      </c>
      <c r="B2873" s="4" t="str">
        <f>"39712022060114130280221"</f>
        <v>39712022060114130280221</v>
      </c>
      <c r="C2873" s="4" t="s">
        <v>28</v>
      </c>
      <c r="D2873" s="4" t="str">
        <f>"符礼爱"</f>
        <v>符礼爱</v>
      </c>
      <c r="E2873" s="4" t="str">
        <f t="shared" si="116"/>
        <v>女</v>
      </c>
    </row>
    <row r="2874" spans="1:5" ht="30" customHeight="1">
      <c r="A2874" s="4">
        <v>2872</v>
      </c>
      <c r="B2874" s="4" t="str">
        <f>"39712022060114170580238"</f>
        <v>39712022060114170580238</v>
      </c>
      <c r="C2874" s="4" t="s">
        <v>28</v>
      </c>
      <c r="D2874" s="4" t="str">
        <f>"符佳鑫"</f>
        <v>符佳鑫</v>
      </c>
      <c r="E2874" s="4" t="str">
        <f t="shared" si="116"/>
        <v>女</v>
      </c>
    </row>
    <row r="2875" spans="1:5" ht="30" customHeight="1">
      <c r="A2875" s="4">
        <v>2873</v>
      </c>
      <c r="B2875" s="4" t="str">
        <f>"39712022060114202780254"</f>
        <v>39712022060114202780254</v>
      </c>
      <c r="C2875" s="4" t="s">
        <v>28</v>
      </c>
      <c r="D2875" s="4" t="str">
        <f>"吕姗"</f>
        <v>吕姗</v>
      </c>
      <c r="E2875" s="4" t="str">
        <f t="shared" si="116"/>
        <v>女</v>
      </c>
    </row>
    <row r="2876" spans="1:5" ht="30" customHeight="1">
      <c r="A2876" s="4">
        <v>2874</v>
      </c>
      <c r="B2876" s="4" t="str">
        <f>"39712022060114361680305"</f>
        <v>39712022060114361680305</v>
      </c>
      <c r="C2876" s="4" t="s">
        <v>28</v>
      </c>
      <c r="D2876" s="4" t="str">
        <f>"杨靖"</f>
        <v>杨靖</v>
      </c>
      <c r="E2876" s="4" t="str">
        <f t="shared" si="116"/>
        <v>女</v>
      </c>
    </row>
    <row r="2877" spans="1:5" ht="30" customHeight="1">
      <c r="A2877" s="4">
        <v>2875</v>
      </c>
      <c r="B2877" s="4" t="str">
        <f>"39712022060114381480317"</f>
        <v>39712022060114381480317</v>
      </c>
      <c r="C2877" s="4" t="s">
        <v>28</v>
      </c>
      <c r="D2877" s="4" t="str">
        <f>"郑霞"</f>
        <v>郑霞</v>
      </c>
      <c r="E2877" s="4" t="str">
        <f t="shared" si="116"/>
        <v>女</v>
      </c>
    </row>
    <row r="2878" spans="1:5" ht="30" customHeight="1">
      <c r="A2878" s="4">
        <v>2876</v>
      </c>
      <c r="B2878" s="4" t="str">
        <f>"39712022060114410280334"</f>
        <v>39712022060114410280334</v>
      </c>
      <c r="C2878" s="4" t="s">
        <v>28</v>
      </c>
      <c r="D2878" s="4" t="str">
        <f>"王樱抚"</f>
        <v>王樱抚</v>
      </c>
      <c r="E2878" s="4" t="str">
        <f t="shared" si="116"/>
        <v>女</v>
      </c>
    </row>
    <row r="2879" spans="1:5" ht="30" customHeight="1">
      <c r="A2879" s="4">
        <v>2877</v>
      </c>
      <c r="B2879" s="4" t="str">
        <f>"39712022060114494280375"</f>
        <v>39712022060114494280375</v>
      </c>
      <c r="C2879" s="4" t="s">
        <v>28</v>
      </c>
      <c r="D2879" s="4" t="str">
        <f>"符诗涓"</f>
        <v>符诗涓</v>
      </c>
      <c r="E2879" s="4" t="str">
        <f t="shared" si="116"/>
        <v>女</v>
      </c>
    </row>
    <row r="2880" spans="1:5" ht="30" customHeight="1">
      <c r="A2880" s="4">
        <v>2878</v>
      </c>
      <c r="B2880" s="4" t="str">
        <f>"39712022060114513280384"</f>
        <v>39712022060114513280384</v>
      </c>
      <c r="C2880" s="4" t="s">
        <v>28</v>
      </c>
      <c r="D2880" s="4" t="str">
        <f>"黄秋梅"</f>
        <v>黄秋梅</v>
      </c>
      <c r="E2880" s="4" t="str">
        <f t="shared" si="116"/>
        <v>女</v>
      </c>
    </row>
    <row r="2881" spans="1:5" ht="30" customHeight="1">
      <c r="A2881" s="4">
        <v>2879</v>
      </c>
      <c r="B2881" s="4" t="str">
        <f>"39712022060115040180451"</f>
        <v>39712022060115040180451</v>
      </c>
      <c r="C2881" s="4" t="s">
        <v>28</v>
      </c>
      <c r="D2881" s="4" t="str">
        <f>"林立湲"</f>
        <v>林立湲</v>
      </c>
      <c r="E2881" s="4" t="str">
        <f t="shared" si="116"/>
        <v>女</v>
      </c>
    </row>
    <row r="2882" spans="1:5" ht="30" customHeight="1">
      <c r="A2882" s="4">
        <v>2880</v>
      </c>
      <c r="B2882" s="4" t="str">
        <f>"39712022060115040880453"</f>
        <v>39712022060115040880453</v>
      </c>
      <c r="C2882" s="4" t="s">
        <v>28</v>
      </c>
      <c r="D2882" s="4" t="str">
        <f>"黄欣欣"</f>
        <v>黄欣欣</v>
      </c>
      <c r="E2882" s="4" t="str">
        <f t="shared" si="116"/>
        <v>女</v>
      </c>
    </row>
    <row r="2883" spans="1:5" ht="30" customHeight="1">
      <c r="A2883" s="4">
        <v>2881</v>
      </c>
      <c r="B2883" s="4" t="str">
        <f>"39712022060115061280462"</f>
        <v>39712022060115061280462</v>
      </c>
      <c r="C2883" s="4" t="s">
        <v>28</v>
      </c>
      <c r="D2883" s="4" t="str">
        <f>"王妍人"</f>
        <v>王妍人</v>
      </c>
      <c r="E2883" s="4" t="str">
        <f t="shared" si="116"/>
        <v>女</v>
      </c>
    </row>
    <row r="2884" spans="1:5" ht="30" customHeight="1">
      <c r="A2884" s="4">
        <v>2882</v>
      </c>
      <c r="B2884" s="4" t="str">
        <f>"39712022060115202180544"</f>
        <v>39712022060115202180544</v>
      </c>
      <c r="C2884" s="4" t="s">
        <v>28</v>
      </c>
      <c r="D2884" s="4" t="str">
        <f>"林玉霞"</f>
        <v>林玉霞</v>
      </c>
      <c r="E2884" s="4" t="str">
        <f t="shared" si="116"/>
        <v>女</v>
      </c>
    </row>
    <row r="2885" spans="1:5" ht="30" customHeight="1">
      <c r="A2885" s="4">
        <v>2883</v>
      </c>
      <c r="B2885" s="4" t="str">
        <f>"39712022060115203980548"</f>
        <v>39712022060115203980548</v>
      </c>
      <c r="C2885" s="4" t="s">
        <v>28</v>
      </c>
      <c r="D2885" s="4" t="str">
        <f>"林驰驰"</f>
        <v>林驰驰</v>
      </c>
      <c r="E2885" s="4" t="str">
        <f t="shared" si="116"/>
        <v>女</v>
      </c>
    </row>
    <row r="2886" spans="1:5" ht="30" customHeight="1">
      <c r="A2886" s="4">
        <v>2884</v>
      </c>
      <c r="B2886" s="4" t="str">
        <f>"39712022060115221980558"</f>
        <v>39712022060115221980558</v>
      </c>
      <c r="C2886" s="4" t="s">
        <v>28</v>
      </c>
      <c r="D2886" s="4" t="str">
        <f>"严姝婷"</f>
        <v>严姝婷</v>
      </c>
      <c r="E2886" s="4" t="str">
        <f t="shared" si="116"/>
        <v>女</v>
      </c>
    </row>
    <row r="2887" spans="1:5" ht="30" customHeight="1">
      <c r="A2887" s="4">
        <v>2885</v>
      </c>
      <c r="B2887" s="4" t="str">
        <f>"39712022060115240980567"</f>
        <v>39712022060115240980567</v>
      </c>
      <c r="C2887" s="4" t="s">
        <v>28</v>
      </c>
      <c r="D2887" s="4" t="str">
        <f>"黎丽莎"</f>
        <v>黎丽莎</v>
      </c>
      <c r="E2887" s="4" t="str">
        <f t="shared" si="116"/>
        <v>女</v>
      </c>
    </row>
    <row r="2888" spans="1:5" ht="30" customHeight="1">
      <c r="A2888" s="4">
        <v>2886</v>
      </c>
      <c r="B2888" s="4" t="str">
        <f>"39712022060115243780570"</f>
        <v>39712022060115243780570</v>
      </c>
      <c r="C2888" s="4" t="s">
        <v>28</v>
      </c>
      <c r="D2888" s="4" t="str">
        <f>"甘露"</f>
        <v>甘露</v>
      </c>
      <c r="E2888" s="4" t="str">
        <f t="shared" si="116"/>
        <v>女</v>
      </c>
    </row>
    <row r="2889" spans="1:5" ht="30" customHeight="1">
      <c r="A2889" s="4">
        <v>2887</v>
      </c>
      <c r="B2889" s="4" t="str">
        <f>"39712022060115265480589"</f>
        <v>39712022060115265480589</v>
      </c>
      <c r="C2889" s="4" t="s">
        <v>28</v>
      </c>
      <c r="D2889" s="4" t="str">
        <f>"苏小菊"</f>
        <v>苏小菊</v>
      </c>
      <c r="E2889" s="4" t="str">
        <f t="shared" si="116"/>
        <v>女</v>
      </c>
    </row>
    <row r="2890" spans="1:5" ht="30" customHeight="1">
      <c r="A2890" s="4">
        <v>2888</v>
      </c>
      <c r="B2890" s="4" t="str">
        <f>"39712022060115303980616"</f>
        <v>39712022060115303980616</v>
      </c>
      <c r="C2890" s="4" t="s">
        <v>28</v>
      </c>
      <c r="D2890" s="4" t="str">
        <f>"庄艳美"</f>
        <v>庄艳美</v>
      </c>
      <c r="E2890" s="4" t="str">
        <f t="shared" si="116"/>
        <v>女</v>
      </c>
    </row>
    <row r="2891" spans="1:5" ht="30" customHeight="1">
      <c r="A2891" s="4">
        <v>2889</v>
      </c>
      <c r="B2891" s="4" t="str">
        <f>"39712022060115323780631"</f>
        <v>39712022060115323780631</v>
      </c>
      <c r="C2891" s="4" t="s">
        <v>28</v>
      </c>
      <c r="D2891" s="4" t="str">
        <f>"庄丽莹"</f>
        <v>庄丽莹</v>
      </c>
      <c r="E2891" s="4" t="str">
        <f t="shared" si="116"/>
        <v>女</v>
      </c>
    </row>
    <row r="2892" spans="1:5" ht="30" customHeight="1">
      <c r="A2892" s="4">
        <v>2890</v>
      </c>
      <c r="B2892" s="4" t="str">
        <f>"39712022060115360380648"</f>
        <v>39712022060115360380648</v>
      </c>
      <c r="C2892" s="4" t="s">
        <v>28</v>
      </c>
      <c r="D2892" s="4" t="str">
        <f>"姚必文"</f>
        <v>姚必文</v>
      </c>
      <c r="E2892" s="4" t="str">
        <f t="shared" si="116"/>
        <v>女</v>
      </c>
    </row>
    <row r="2893" spans="1:5" ht="30" customHeight="1">
      <c r="A2893" s="4">
        <v>2891</v>
      </c>
      <c r="B2893" s="4" t="str">
        <f>"39712022060115371980655"</f>
        <v>39712022060115371980655</v>
      </c>
      <c r="C2893" s="4" t="s">
        <v>28</v>
      </c>
      <c r="D2893" s="4" t="str">
        <f>"郑春颜"</f>
        <v>郑春颜</v>
      </c>
      <c r="E2893" s="4" t="str">
        <f t="shared" si="116"/>
        <v>女</v>
      </c>
    </row>
    <row r="2894" spans="1:5" ht="30" customHeight="1">
      <c r="A2894" s="4">
        <v>2892</v>
      </c>
      <c r="B2894" s="4" t="str">
        <f>"39712022060115383380661"</f>
        <v>39712022060115383380661</v>
      </c>
      <c r="C2894" s="4" t="s">
        <v>28</v>
      </c>
      <c r="D2894" s="4" t="str">
        <f>"王瑞丽"</f>
        <v>王瑞丽</v>
      </c>
      <c r="E2894" s="4" t="str">
        <f t="shared" si="116"/>
        <v>女</v>
      </c>
    </row>
    <row r="2895" spans="1:5" ht="30" customHeight="1">
      <c r="A2895" s="4">
        <v>2893</v>
      </c>
      <c r="B2895" s="4" t="str">
        <f>"39712022060115453380708"</f>
        <v>39712022060115453380708</v>
      </c>
      <c r="C2895" s="4" t="s">
        <v>28</v>
      </c>
      <c r="D2895" s="4" t="str">
        <f>"左春燕"</f>
        <v>左春燕</v>
      </c>
      <c r="E2895" s="4" t="str">
        <f t="shared" si="116"/>
        <v>女</v>
      </c>
    </row>
    <row r="2896" spans="1:5" ht="30" customHeight="1">
      <c r="A2896" s="4">
        <v>2894</v>
      </c>
      <c r="B2896" s="4" t="str">
        <f>"39712022060115471880718"</f>
        <v>39712022060115471880718</v>
      </c>
      <c r="C2896" s="4" t="s">
        <v>28</v>
      </c>
      <c r="D2896" s="4" t="str">
        <f>"何文文"</f>
        <v>何文文</v>
      </c>
      <c r="E2896" s="4" t="str">
        <f t="shared" si="116"/>
        <v>女</v>
      </c>
    </row>
    <row r="2897" spans="1:5" ht="30" customHeight="1">
      <c r="A2897" s="4">
        <v>2895</v>
      </c>
      <c r="B2897" s="4" t="str">
        <f>"39712022060115584380785"</f>
        <v>39712022060115584380785</v>
      </c>
      <c r="C2897" s="4" t="s">
        <v>28</v>
      </c>
      <c r="D2897" s="4" t="str">
        <f>"冯莹"</f>
        <v>冯莹</v>
      </c>
      <c r="E2897" s="4" t="str">
        <f t="shared" si="116"/>
        <v>女</v>
      </c>
    </row>
    <row r="2898" spans="1:5" ht="30" customHeight="1">
      <c r="A2898" s="4">
        <v>2896</v>
      </c>
      <c r="B2898" s="4" t="str">
        <f>"39712022060116021880799"</f>
        <v>39712022060116021880799</v>
      </c>
      <c r="C2898" s="4" t="s">
        <v>28</v>
      </c>
      <c r="D2898" s="4" t="str">
        <f>"李莹莹"</f>
        <v>李莹莹</v>
      </c>
      <c r="E2898" s="4" t="str">
        <f t="shared" si="116"/>
        <v>女</v>
      </c>
    </row>
    <row r="2899" spans="1:5" ht="30" customHeight="1">
      <c r="A2899" s="4">
        <v>2897</v>
      </c>
      <c r="B2899" s="4" t="str">
        <f>"39712022060116054080827"</f>
        <v>39712022060116054080827</v>
      </c>
      <c r="C2899" s="4" t="s">
        <v>28</v>
      </c>
      <c r="D2899" s="4" t="str">
        <f>"李素红"</f>
        <v>李素红</v>
      </c>
      <c r="E2899" s="4" t="str">
        <f t="shared" si="116"/>
        <v>女</v>
      </c>
    </row>
    <row r="2900" spans="1:5" ht="30" customHeight="1">
      <c r="A2900" s="4">
        <v>2898</v>
      </c>
      <c r="B2900" s="4" t="str">
        <f>"39712022060116093280854"</f>
        <v>39712022060116093280854</v>
      </c>
      <c r="C2900" s="4" t="s">
        <v>28</v>
      </c>
      <c r="D2900" s="4" t="str">
        <f>"符罗曼"</f>
        <v>符罗曼</v>
      </c>
      <c r="E2900" s="4" t="str">
        <f t="shared" si="116"/>
        <v>女</v>
      </c>
    </row>
    <row r="2901" spans="1:5" ht="30" customHeight="1">
      <c r="A2901" s="4">
        <v>2899</v>
      </c>
      <c r="B2901" s="4" t="str">
        <f>"39712022060116123880873"</f>
        <v>39712022060116123880873</v>
      </c>
      <c r="C2901" s="4" t="s">
        <v>28</v>
      </c>
      <c r="D2901" s="4" t="str">
        <f>"王康丽"</f>
        <v>王康丽</v>
      </c>
      <c r="E2901" s="4" t="str">
        <f t="shared" si="116"/>
        <v>女</v>
      </c>
    </row>
    <row r="2902" spans="1:5" ht="30" customHeight="1">
      <c r="A2902" s="4">
        <v>2900</v>
      </c>
      <c r="B2902" s="4" t="str">
        <f>"39712022060116254280950"</f>
        <v>39712022060116254280950</v>
      </c>
      <c r="C2902" s="4" t="s">
        <v>28</v>
      </c>
      <c r="D2902" s="4" t="str">
        <f>"梁宇晨"</f>
        <v>梁宇晨</v>
      </c>
      <c r="E2902" s="4" t="str">
        <f t="shared" si="116"/>
        <v>女</v>
      </c>
    </row>
    <row r="2903" spans="1:5" ht="30" customHeight="1">
      <c r="A2903" s="4">
        <v>2901</v>
      </c>
      <c r="B2903" s="4" t="str">
        <f>"39712022060116324780984"</f>
        <v>39712022060116324780984</v>
      </c>
      <c r="C2903" s="4" t="s">
        <v>28</v>
      </c>
      <c r="D2903" s="4" t="str">
        <f>"罗圳南"</f>
        <v>罗圳南</v>
      </c>
      <c r="E2903" s="4" t="str">
        <f>"男"</f>
        <v>男</v>
      </c>
    </row>
    <row r="2904" spans="1:5" ht="30" customHeight="1">
      <c r="A2904" s="4">
        <v>2902</v>
      </c>
      <c r="B2904" s="4" t="str">
        <f>"39712022060116385981022"</f>
        <v>39712022060116385981022</v>
      </c>
      <c r="C2904" s="4" t="s">
        <v>28</v>
      </c>
      <c r="D2904" s="4" t="str">
        <f>"张少艳"</f>
        <v>张少艳</v>
      </c>
      <c r="E2904" s="4" t="str">
        <f aca="true" t="shared" si="117" ref="E2904:E2913">"女"</f>
        <v>女</v>
      </c>
    </row>
    <row r="2905" spans="1:5" ht="30" customHeight="1">
      <c r="A2905" s="4">
        <v>2903</v>
      </c>
      <c r="B2905" s="4" t="str">
        <f>"39712022060116395281027"</f>
        <v>39712022060116395281027</v>
      </c>
      <c r="C2905" s="4" t="s">
        <v>28</v>
      </c>
      <c r="D2905" s="4" t="str">
        <f>"莫泽婉"</f>
        <v>莫泽婉</v>
      </c>
      <c r="E2905" s="4" t="str">
        <f t="shared" si="117"/>
        <v>女</v>
      </c>
    </row>
    <row r="2906" spans="1:5" ht="30" customHeight="1">
      <c r="A2906" s="4">
        <v>2904</v>
      </c>
      <c r="B2906" s="4" t="str">
        <f>"39712022060116412281035"</f>
        <v>39712022060116412281035</v>
      </c>
      <c r="C2906" s="4" t="s">
        <v>28</v>
      </c>
      <c r="D2906" s="4" t="str">
        <f>"吴锐君"</f>
        <v>吴锐君</v>
      </c>
      <c r="E2906" s="4" t="str">
        <f t="shared" si="117"/>
        <v>女</v>
      </c>
    </row>
    <row r="2907" spans="1:5" ht="30" customHeight="1">
      <c r="A2907" s="4">
        <v>2905</v>
      </c>
      <c r="B2907" s="4" t="str">
        <f>"39712022060116421781042"</f>
        <v>39712022060116421781042</v>
      </c>
      <c r="C2907" s="4" t="s">
        <v>28</v>
      </c>
      <c r="D2907" s="4" t="str">
        <f>"黄柳苑"</f>
        <v>黄柳苑</v>
      </c>
      <c r="E2907" s="4" t="str">
        <f t="shared" si="117"/>
        <v>女</v>
      </c>
    </row>
    <row r="2908" spans="1:5" ht="30" customHeight="1">
      <c r="A2908" s="4">
        <v>2906</v>
      </c>
      <c r="B2908" s="4" t="str">
        <f>"39712022060116492981081"</f>
        <v>39712022060116492981081</v>
      </c>
      <c r="C2908" s="4" t="s">
        <v>28</v>
      </c>
      <c r="D2908" s="4" t="str">
        <f>"文秋"</f>
        <v>文秋</v>
      </c>
      <c r="E2908" s="4" t="str">
        <f t="shared" si="117"/>
        <v>女</v>
      </c>
    </row>
    <row r="2909" spans="1:5" ht="30" customHeight="1">
      <c r="A2909" s="4">
        <v>2907</v>
      </c>
      <c r="B2909" s="4" t="str">
        <f>"39712022060116520281092"</f>
        <v>39712022060116520281092</v>
      </c>
      <c r="C2909" s="4" t="s">
        <v>28</v>
      </c>
      <c r="D2909" s="4" t="str">
        <f>"黎燕"</f>
        <v>黎燕</v>
      </c>
      <c r="E2909" s="4" t="str">
        <f t="shared" si="117"/>
        <v>女</v>
      </c>
    </row>
    <row r="2910" spans="1:5" ht="30" customHeight="1">
      <c r="A2910" s="4">
        <v>2908</v>
      </c>
      <c r="B2910" s="4" t="str">
        <f>"39712022060116575381130"</f>
        <v>39712022060116575381130</v>
      </c>
      <c r="C2910" s="4" t="s">
        <v>28</v>
      </c>
      <c r="D2910" s="4" t="str">
        <f>"黄晨莹"</f>
        <v>黄晨莹</v>
      </c>
      <c r="E2910" s="4" t="str">
        <f t="shared" si="117"/>
        <v>女</v>
      </c>
    </row>
    <row r="2911" spans="1:5" ht="30" customHeight="1">
      <c r="A2911" s="4">
        <v>2909</v>
      </c>
      <c r="B2911" s="4" t="str">
        <f>"39712022060117003081138"</f>
        <v>39712022060117003081138</v>
      </c>
      <c r="C2911" s="4" t="s">
        <v>28</v>
      </c>
      <c r="D2911" s="4" t="str">
        <f>"陈铭蔚"</f>
        <v>陈铭蔚</v>
      </c>
      <c r="E2911" s="4" t="str">
        <f t="shared" si="117"/>
        <v>女</v>
      </c>
    </row>
    <row r="2912" spans="1:5" ht="30" customHeight="1">
      <c r="A2912" s="4">
        <v>2910</v>
      </c>
      <c r="B2912" s="4" t="str">
        <f>"39712022060117013181143"</f>
        <v>39712022060117013181143</v>
      </c>
      <c r="C2912" s="4" t="s">
        <v>28</v>
      </c>
      <c r="D2912" s="4" t="str">
        <f>"吴飞飞"</f>
        <v>吴飞飞</v>
      </c>
      <c r="E2912" s="4" t="str">
        <f t="shared" si="117"/>
        <v>女</v>
      </c>
    </row>
    <row r="2913" spans="1:5" ht="30" customHeight="1">
      <c r="A2913" s="4">
        <v>2911</v>
      </c>
      <c r="B2913" s="4" t="str">
        <f>"39712022060117032681148"</f>
        <v>39712022060117032681148</v>
      </c>
      <c r="C2913" s="4" t="s">
        <v>28</v>
      </c>
      <c r="D2913" s="4" t="str">
        <f>"陈丹丹"</f>
        <v>陈丹丹</v>
      </c>
      <c r="E2913" s="4" t="str">
        <f t="shared" si="117"/>
        <v>女</v>
      </c>
    </row>
    <row r="2914" spans="1:5" ht="30" customHeight="1">
      <c r="A2914" s="4">
        <v>2912</v>
      </c>
      <c r="B2914" s="4" t="str">
        <f>"39712022060117050681164"</f>
        <v>39712022060117050681164</v>
      </c>
      <c r="C2914" s="4" t="s">
        <v>28</v>
      </c>
      <c r="D2914" s="4" t="str">
        <f>"刘堃"</f>
        <v>刘堃</v>
      </c>
      <c r="E2914" s="4" t="str">
        <f>"男"</f>
        <v>男</v>
      </c>
    </row>
    <row r="2915" spans="1:5" ht="30" customHeight="1">
      <c r="A2915" s="4">
        <v>2913</v>
      </c>
      <c r="B2915" s="4" t="str">
        <f>"39712022060117173481238"</f>
        <v>39712022060117173481238</v>
      </c>
      <c r="C2915" s="4" t="s">
        <v>28</v>
      </c>
      <c r="D2915" s="4" t="str">
        <f>"韩冬丽"</f>
        <v>韩冬丽</v>
      </c>
      <c r="E2915" s="4" t="str">
        <f aca="true" t="shared" si="118" ref="E2915:E2971">"女"</f>
        <v>女</v>
      </c>
    </row>
    <row r="2916" spans="1:5" ht="30" customHeight="1">
      <c r="A2916" s="4">
        <v>2914</v>
      </c>
      <c r="B2916" s="4" t="str">
        <f>"39712022060117182381246"</f>
        <v>39712022060117182381246</v>
      </c>
      <c r="C2916" s="4" t="s">
        <v>28</v>
      </c>
      <c r="D2916" s="4" t="str">
        <f>"吴烨靓"</f>
        <v>吴烨靓</v>
      </c>
      <c r="E2916" s="4" t="str">
        <f t="shared" si="118"/>
        <v>女</v>
      </c>
    </row>
    <row r="2917" spans="1:5" ht="30" customHeight="1">
      <c r="A2917" s="4">
        <v>2915</v>
      </c>
      <c r="B2917" s="4" t="str">
        <f>"39712022060117242181273"</f>
        <v>39712022060117242181273</v>
      </c>
      <c r="C2917" s="4" t="s">
        <v>28</v>
      </c>
      <c r="D2917" s="4" t="str">
        <f>"王小惠"</f>
        <v>王小惠</v>
      </c>
      <c r="E2917" s="4" t="str">
        <f t="shared" si="118"/>
        <v>女</v>
      </c>
    </row>
    <row r="2918" spans="1:5" ht="30" customHeight="1">
      <c r="A2918" s="4">
        <v>2916</v>
      </c>
      <c r="B2918" s="4" t="str">
        <f>"39712022060117281881300"</f>
        <v>39712022060117281881300</v>
      </c>
      <c r="C2918" s="4" t="s">
        <v>28</v>
      </c>
      <c r="D2918" s="4" t="str">
        <f>"王若玮"</f>
        <v>王若玮</v>
      </c>
      <c r="E2918" s="4" t="str">
        <f t="shared" si="118"/>
        <v>女</v>
      </c>
    </row>
    <row r="2919" spans="1:5" ht="30" customHeight="1">
      <c r="A2919" s="4">
        <v>2917</v>
      </c>
      <c r="B2919" s="4" t="str">
        <f>"39712022060117342081333"</f>
        <v>39712022060117342081333</v>
      </c>
      <c r="C2919" s="4" t="s">
        <v>28</v>
      </c>
      <c r="D2919" s="4" t="str">
        <f>"黎菊女"</f>
        <v>黎菊女</v>
      </c>
      <c r="E2919" s="4" t="str">
        <f t="shared" si="118"/>
        <v>女</v>
      </c>
    </row>
    <row r="2920" spans="1:5" ht="30" customHeight="1">
      <c r="A2920" s="4">
        <v>2918</v>
      </c>
      <c r="B2920" s="4" t="str">
        <f>"39712022060117365081343"</f>
        <v>39712022060117365081343</v>
      </c>
      <c r="C2920" s="4" t="s">
        <v>28</v>
      </c>
      <c r="D2920" s="4" t="str">
        <f>"许小环"</f>
        <v>许小环</v>
      </c>
      <c r="E2920" s="4" t="str">
        <f t="shared" si="118"/>
        <v>女</v>
      </c>
    </row>
    <row r="2921" spans="1:5" ht="30" customHeight="1">
      <c r="A2921" s="4">
        <v>2919</v>
      </c>
      <c r="B2921" s="4" t="str">
        <f>"39712022060117402381362"</f>
        <v>39712022060117402381362</v>
      </c>
      <c r="C2921" s="4" t="s">
        <v>28</v>
      </c>
      <c r="D2921" s="4" t="str">
        <f>"温雯雯"</f>
        <v>温雯雯</v>
      </c>
      <c r="E2921" s="4" t="str">
        <f t="shared" si="118"/>
        <v>女</v>
      </c>
    </row>
    <row r="2922" spans="1:5" ht="30" customHeight="1">
      <c r="A2922" s="4">
        <v>2920</v>
      </c>
      <c r="B2922" s="4" t="str">
        <f>"39712022060117471081391"</f>
        <v>39712022060117471081391</v>
      </c>
      <c r="C2922" s="4" t="s">
        <v>28</v>
      </c>
      <c r="D2922" s="4" t="str">
        <f>"詹明苏"</f>
        <v>詹明苏</v>
      </c>
      <c r="E2922" s="4" t="str">
        <f t="shared" si="118"/>
        <v>女</v>
      </c>
    </row>
    <row r="2923" spans="1:5" ht="30" customHeight="1">
      <c r="A2923" s="4">
        <v>2921</v>
      </c>
      <c r="B2923" s="4" t="str">
        <f>"39712022060117484381399"</f>
        <v>39712022060117484381399</v>
      </c>
      <c r="C2923" s="4" t="s">
        <v>28</v>
      </c>
      <c r="D2923" s="4" t="str">
        <f>"王雪梅"</f>
        <v>王雪梅</v>
      </c>
      <c r="E2923" s="4" t="str">
        <f t="shared" si="118"/>
        <v>女</v>
      </c>
    </row>
    <row r="2924" spans="1:5" ht="30" customHeight="1">
      <c r="A2924" s="4">
        <v>2922</v>
      </c>
      <c r="B2924" s="4" t="str">
        <f>"39712022060117525881418"</f>
        <v>39712022060117525881418</v>
      </c>
      <c r="C2924" s="4" t="s">
        <v>28</v>
      </c>
      <c r="D2924" s="4" t="str">
        <f>"王雨华"</f>
        <v>王雨华</v>
      </c>
      <c r="E2924" s="4" t="str">
        <f t="shared" si="118"/>
        <v>女</v>
      </c>
    </row>
    <row r="2925" spans="1:5" ht="30" customHeight="1">
      <c r="A2925" s="4">
        <v>2923</v>
      </c>
      <c r="B2925" s="4" t="str">
        <f>"39712022060117533481422"</f>
        <v>39712022060117533481422</v>
      </c>
      <c r="C2925" s="4" t="s">
        <v>28</v>
      </c>
      <c r="D2925" s="4" t="str">
        <f>"李宗阳"</f>
        <v>李宗阳</v>
      </c>
      <c r="E2925" s="4" t="str">
        <f t="shared" si="118"/>
        <v>女</v>
      </c>
    </row>
    <row r="2926" spans="1:5" ht="30" customHeight="1">
      <c r="A2926" s="4">
        <v>2924</v>
      </c>
      <c r="B2926" s="4" t="str">
        <f>"39712022060117562781440"</f>
        <v>39712022060117562781440</v>
      </c>
      <c r="C2926" s="4" t="s">
        <v>28</v>
      </c>
      <c r="D2926" s="4" t="str">
        <f>"蒙静娴"</f>
        <v>蒙静娴</v>
      </c>
      <c r="E2926" s="4" t="str">
        <f t="shared" si="118"/>
        <v>女</v>
      </c>
    </row>
    <row r="2927" spans="1:5" ht="30" customHeight="1">
      <c r="A2927" s="4">
        <v>2925</v>
      </c>
      <c r="B2927" s="4" t="str">
        <f>"39712022060117572381443"</f>
        <v>39712022060117572381443</v>
      </c>
      <c r="C2927" s="4" t="s">
        <v>28</v>
      </c>
      <c r="D2927" s="4" t="str">
        <f>"冼心雅"</f>
        <v>冼心雅</v>
      </c>
      <c r="E2927" s="4" t="str">
        <f t="shared" si="118"/>
        <v>女</v>
      </c>
    </row>
    <row r="2928" spans="1:5" ht="30" customHeight="1">
      <c r="A2928" s="4">
        <v>2926</v>
      </c>
      <c r="B2928" s="4" t="str">
        <f>"39712022060117582081447"</f>
        <v>39712022060117582081447</v>
      </c>
      <c r="C2928" s="4" t="s">
        <v>28</v>
      </c>
      <c r="D2928" s="4" t="str">
        <f>"陈思露"</f>
        <v>陈思露</v>
      </c>
      <c r="E2928" s="4" t="str">
        <f t="shared" si="118"/>
        <v>女</v>
      </c>
    </row>
    <row r="2929" spans="1:5" ht="30" customHeight="1">
      <c r="A2929" s="4">
        <v>2927</v>
      </c>
      <c r="B2929" s="4" t="str">
        <f>"39712022060118052181476"</f>
        <v>39712022060118052181476</v>
      </c>
      <c r="C2929" s="4" t="s">
        <v>28</v>
      </c>
      <c r="D2929" s="4" t="str">
        <f>"王重昙"</f>
        <v>王重昙</v>
      </c>
      <c r="E2929" s="4" t="str">
        <f t="shared" si="118"/>
        <v>女</v>
      </c>
    </row>
    <row r="2930" spans="1:5" ht="30" customHeight="1">
      <c r="A2930" s="4">
        <v>2928</v>
      </c>
      <c r="B2930" s="4" t="str">
        <f>"39712022060118093281492"</f>
        <v>39712022060118093281492</v>
      </c>
      <c r="C2930" s="4" t="s">
        <v>28</v>
      </c>
      <c r="D2930" s="4" t="str">
        <f>"陈泓谕"</f>
        <v>陈泓谕</v>
      </c>
      <c r="E2930" s="4" t="str">
        <f t="shared" si="118"/>
        <v>女</v>
      </c>
    </row>
    <row r="2931" spans="1:5" ht="30" customHeight="1">
      <c r="A2931" s="4">
        <v>2929</v>
      </c>
      <c r="B2931" s="4" t="str">
        <f>"39712022060118114981498"</f>
        <v>39712022060118114981498</v>
      </c>
      <c r="C2931" s="4" t="s">
        <v>28</v>
      </c>
      <c r="D2931" s="4" t="str">
        <f>"钟专"</f>
        <v>钟专</v>
      </c>
      <c r="E2931" s="4" t="str">
        <f t="shared" si="118"/>
        <v>女</v>
      </c>
    </row>
    <row r="2932" spans="1:5" ht="30" customHeight="1">
      <c r="A2932" s="4">
        <v>2930</v>
      </c>
      <c r="B2932" s="4" t="str">
        <f>"39712022060118120781501"</f>
        <v>39712022060118120781501</v>
      </c>
      <c r="C2932" s="4" t="s">
        <v>28</v>
      </c>
      <c r="D2932" s="4" t="str">
        <f>"潘沫妃"</f>
        <v>潘沫妃</v>
      </c>
      <c r="E2932" s="4" t="str">
        <f t="shared" si="118"/>
        <v>女</v>
      </c>
    </row>
    <row r="2933" spans="1:5" ht="30" customHeight="1">
      <c r="A2933" s="4">
        <v>2931</v>
      </c>
      <c r="B2933" s="4" t="str">
        <f>"39712022060118283081577"</f>
        <v>39712022060118283081577</v>
      </c>
      <c r="C2933" s="4" t="s">
        <v>28</v>
      </c>
      <c r="D2933" s="4" t="str">
        <f>"徐敏"</f>
        <v>徐敏</v>
      </c>
      <c r="E2933" s="4" t="str">
        <f t="shared" si="118"/>
        <v>女</v>
      </c>
    </row>
    <row r="2934" spans="1:5" ht="30" customHeight="1">
      <c r="A2934" s="4">
        <v>2932</v>
      </c>
      <c r="B2934" s="4" t="str">
        <f>"39712022060118375581619"</f>
        <v>39712022060118375581619</v>
      </c>
      <c r="C2934" s="4" t="s">
        <v>28</v>
      </c>
      <c r="D2934" s="4" t="str">
        <f>"许秋雅"</f>
        <v>许秋雅</v>
      </c>
      <c r="E2934" s="4" t="str">
        <f t="shared" si="118"/>
        <v>女</v>
      </c>
    </row>
    <row r="2935" spans="1:5" ht="30" customHeight="1">
      <c r="A2935" s="4">
        <v>2933</v>
      </c>
      <c r="B2935" s="4" t="str">
        <f>"39712022060118393481625"</f>
        <v>39712022060118393481625</v>
      </c>
      <c r="C2935" s="4" t="s">
        <v>28</v>
      </c>
      <c r="D2935" s="4" t="str">
        <f>"周艳颜"</f>
        <v>周艳颜</v>
      </c>
      <c r="E2935" s="4" t="str">
        <f t="shared" si="118"/>
        <v>女</v>
      </c>
    </row>
    <row r="2936" spans="1:5" ht="30" customHeight="1">
      <c r="A2936" s="4">
        <v>2934</v>
      </c>
      <c r="B2936" s="4" t="str">
        <f>"39712022060118415581630"</f>
        <v>39712022060118415581630</v>
      </c>
      <c r="C2936" s="4" t="s">
        <v>28</v>
      </c>
      <c r="D2936" s="4" t="str">
        <f>"谢雯"</f>
        <v>谢雯</v>
      </c>
      <c r="E2936" s="4" t="str">
        <f t="shared" si="118"/>
        <v>女</v>
      </c>
    </row>
    <row r="2937" spans="1:5" ht="30" customHeight="1">
      <c r="A2937" s="4">
        <v>2935</v>
      </c>
      <c r="B2937" s="4" t="str">
        <f>"39712022060118450781643"</f>
        <v>39712022060118450781643</v>
      </c>
      <c r="C2937" s="4" t="s">
        <v>28</v>
      </c>
      <c r="D2937" s="4" t="str">
        <f>"陈小丽"</f>
        <v>陈小丽</v>
      </c>
      <c r="E2937" s="4" t="str">
        <f t="shared" si="118"/>
        <v>女</v>
      </c>
    </row>
    <row r="2938" spans="1:5" ht="30" customHeight="1">
      <c r="A2938" s="4">
        <v>2936</v>
      </c>
      <c r="B2938" s="4" t="str">
        <f>"39712022060118460881648"</f>
        <v>39712022060118460881648</v>
      </c>
      <c r="C2938" s="4" t="s">
        <v>28</v>
      </c>
      <c r="D2938" s="4" t="str">
        <f>"邓晓婕"</f>
        <v>邓晓婕</v>
      </c>
      <c r="E2938" s="4" t="str">
        <f t="shared" si="118"/>
        <v>女</v>
      </c>
    </row>
    <row r="2939" spans="1:5" ht="30" customHeight="1">
      <c r="A2939" s="4">
        <v>2937</v>
      </c>
      <c r="B2939" s="4" t="str">
        <f>"39712022060118474781653"</f>
        <v>39712022060118474781653</v>
      </c>
      <c r="C2939" s="4" t="s">
        <v>28</v>
      </c>
      <c r="D2939" s="4" t="str">
        <f>"谢佳佳"</f>
        <v>谢佳佳</v>
      </c>
      <c r="E2939" s="4" t="str">
        <f t="shared" si="118"/>
        <v>女</v>
      </c>
    </row>
    <row r="2940" spans="1:5" ht="30" customHeight="1">
      <c r="A2940" s="4">
        <v>2938</v>
      </c>
      <c r="B2940" s="4" t="str">
        <f>"39712022060119012181709"</f>
        <v>39712022060119012181709</v>
      </c>
      <c r="C2940" s="4" t="s">
        <v>28</v>
      </c>
      <c r="D2940" s="4" t="str">
        <f>"何影"</f>
        <v>何影</v>
      </c>
      <c r="E2940" s="4" t="str">
        <f t="shared" si="118"/>
        <v>女</v>
      </c>
    </row>
    <row r="2941" spans="1:5" ht="30" customHeight="1">
      <c r="A2941" s="4">
        <v>2939</v>
      </c>
      <c r="B2941" s="4" t="str">
        <f>"39712022060119055581727"</f>
        <v>39712022060119055581727</v>
      </c>
      <c r="C2941" s="4" t="s">
        <v>28</v>
      </c>
      <c r="D2941" s="4" t="str">
        <f>"王岱冉"</f>
        <v>王岱冉</v>
      </c>
      <c r="E2941" s="4" t="str">
        <f t="shared" si="118"/>
        <v>女</v>
      </c>
    </row>
    <row r="2942" spans="1:5" ht="30" customHeight="1">
      <c r="A2942" s="4">
        <v>2940</v>
      </c>
      <c r="B2942" s="4" t="str">
        <f>"39712022060119071781735"</f>
        <v>39712022060119071781735</v>
      </c>
      <c r="C2942" s="4" t="s">
        <v>28</v>
      </c>
      <c r="D2942" s="4" t="str">
        <f>"苏刘青"</f>
        <v>苏刘青</v>
      </c>
      <c r="E2942" s="4" t="str">
        <f t="shared" si="118"/>
        <v>女</v>
      </c>
    </row>
    <row r="2943" spans="1:5" ht="30" customHeight="1">
      <c r="A2943" s="4">
        <v>2941</v>
      </c>
      <c r="B2943" s="4" t="str">
        <f>"39712022060119135881757"</f>
        <v>39712022060119135881757</v>
      </c>
      <c r="C2943" s="4" t="s">
        <v>28</v>
      </c>
      <c r="D2943" s="4" t="str">
        <f>"程婕"</f>
        <v>程婕</v>
      </c>
      <c r="E2943" s="4" t="str">
        <f t="shared" si="118"/>
        <v>女</v>
      </c>
    </row>
    <row r="2944" spans="1:5" ht="30" customHeight="1">
      <c r="A2944" s="4">
        <v>2942</v>
      </c>
      <c r="B2944" s="4" t="str">
        <f>"39712022060119150381761"</f>
        <v>39712022060119150381761</v>
      </c>
      <c r="C2944" s="4" t="s">
        <v>28</v>
      </c>
      <c r="D2944" s="4" t="str">
        <f>"黄振丹"</f>
        <v>黄振丹</v>
      </c>
      <c r="E2944" s="4" t="str">
        <f t="shared" si="118"/>
        <v>女</v>
      </c>
    </row>
    <row r="2945" spans="1:5" ht="30" customHeight="1">
      <c r="A2945" s="4">
        <v>2943</v>
      </c>
      <c r="B2945" s="4" t="str">
        <f>"39712022060119160281770"</f>
        <v>39712022060119160281770</v>
      </c>
      <c r="C2945" s="4" t="s">
        <v>28</v>
      </c>
      <c r="D2945" s="4" t="str">
        <f>"邵心如"</f>
        <v>邵心如</v>
      </c>
      <c r="E2945" s="4" t="str">
        <f t="shared" si="118"/>
        <v>女</v>
      </c>
    </row>
    <row r="2946" spans="1:5" ht="30" customHeight="1">
      <c r="A2946" s="4">
        <v>2944</v>
      </c>
      <c r="B2946" s="4" t="str">
        <f>"39712022060119175981780"</f>
        <v>39712022060119175981780</v>
      </c>
      <c r="C2946" s="4" t="s">
        <v>28</v>
      </c>
      <c r="D2946" s="4" t="str">
        <f>"林桂梅"</f>
        <v>林桂梅</v>
      </c>
      <c r="E2946" s="4" t="str">
        <f t="shared" si="118"/>
        <v>女</v>
      </c>
    </row>
    <row r="2947" spans="1:5" ht="30" customHeight="1">
      <c r="A2947" s="4">
        <v>2945</v>
      </c>
      <c r="B2947" s="4" t="str">
        <f>"39712022060119331181839"</f>
        <v>39712022060119331181839</v>
      </c>
      <c r="C2947" s="4" t="s">
        <v>28</v>
      </c>
      <c r="D2947" s="4" t="str">
        <f>"吴华丹"</f>
        <v>吴华丹</v>
      </c>
      <c r="E2947" s="4" t="str">
        <f t="shared" si="118"/>
        <v>女</v>
      </c>
    </row>
    <row r="2948" spans="1:5" ht="30" customHeight="1">
      <c r="A2948" s="4">
        <v>2946</v>
      </c>
      <c r="B2948" s="4" t="str">
        <f>"39712022060119424381873"</f>
        <v>39712022060119424381873</v>
      </c>
      <c r="C2948" s="4" t="s">
        <v>28</v>
      </c>
      <c r="D2948" s="4" t="str">
        <f>"黄慧"</f>
        <v>黄慧</v>
      </c>
      <c r="E2948" s="4" t="str">
        <f t="shared" si="118"/>
        <v>女</v>
      </c>
    </row>
    <row r="2949" spans="1:5" ht="30" customHeight="1">
      <c r="A2949" s="4">
        <v>2947</v>
      </c>
      <c r="B2949" s="4" t="str">
        <f>"39712022060119441381879"</f>
        <v>39712022060119441381879</v>
      </c>
      <c r="C2949" s="4" t="s">
        <v>28</v>
      </c>
      <c r="D2949" s="4" t="str">
        <f>"郑淞丹"</f>
        <v>郑淞丹</v>
      </c>
      <c r="E2949" s="4" t="str">
        <f t="shared" si="118"/>
        <v>女</v>
      </c>
    </row>
    <row r="2950" spans="1:5" ht="30" customHeight="1">
      <c r="A2950" s="4">
        <v>2948</v>
      </c>
      <c r="B2950" s="4" t="str">
        <f>"39712022060119451981884"</f>
        <v>39712022060119451981884</v>
      </c>
      <c r="C2950" s="4" t="s">
        <v>28</v>
      </c>
      <c r="D2950" s="4" t="str">
        <f>"杨桂梅"</f>
        <v>杨桂梅</v>
      </c>
      <c r="E2950" s="4" t="str">
        <f t="shared" si="118"/>
        <v>女</v>
      </c>
    </row>
    <row r="2951" spans="1:5" ht="30" customHeight="1">
      <c r="A2951" s="4">
        <v>2949</v>
      </c>
      <c r="B2951" s="4" t="str">
        <f>"39712022060119475381896"</f>
        <v>39712022060119475381896</v>
      </c>
      <c r="C2951" s="4" t="s">
        <v>28</v>
      </c>
      <c r="D2951" s="4" t="str">
        <f>"符欣欣"</f>
        <v>符欣欣</v>
      </c>
      <c r="E2951" s="4" t="str">
        <f t="shared" si="118"/>
        <v>女</v>
      </c>
    </row>
    <row r="2952" spans="1:5" ht="30" customHeight="1">
      <c r="A2952" s="4">
        <v>2950</v>
      </c>
      <c r="B2952" s="4" t="str">
        <f>"39712022060119481081899"</f>
        <v>39712022060119481081899</v>
      </c>
      <c r="C2952" s="4" t="s">
        <v>28</v>
      </c>
      <c r="D2952" s="4" t="str">
        <f>"卢铿妃"</f>
        <v>卢铿妃</v>
      </c>
      <c r="E2952" s="4" t="str">
        <f t="shared" si="118"/>
        <v>女</v>
      </c>
    </row>
    <row r="2953" spans="1:5" ht="30" customHeight="1">
      <c r="A2953" s="4">
        <v>2951</v>
      </c>
      <c r="B2953" s="4" t="str">
        <f>"39712022060119523581920"</f>
        <v>39712022060119523581920</v>
      </c>
      <c r="C2953" s="4" t="s">
        <v>28</v>
      </c>
      <c r="D2953" s="4" t="str">
        <f>"王冉冉"</f>
        <v>王冉冉</v>
      </c>
      <c r="E2953" s="4" t="str">
        <f t="shared" si="118"/>
        <v>女</v>
      </c>
    </row>
    <row r="2954" spans="1:5" ht="30" customHeight="1">
      <c r="A2954" s="4">
        <v>2952</v>
      </c>
      <c r="B2954" s="4" t="str">
        <f>"39712022060120022281959"</f>
        <v>39712022060120022281959</v>
      </c>
      <c r="C2954" s="4" t="s">
        <v>28</v>
      </c>
      <c r="D2954" s="4" t="str">
        <f>"胡颖"</f>
        <v>胡颖</v>
      </c>
      <c r="E2954" s="4" t="str">
        <f t="shared" si="118"/>
        <v>女</v>
      </c>
    </row>
    <row r="2955" spans="1:5" ht="30" customHeight="1">
      <c r="A2955" s="4">
        <v>2953</v>
      </c>
      <c r="B2955" s="4" t="str">
        <f>"39712022060120100681994"</f>
        <v>39712022060120100681994</v>
      </c>
      <c r="C2955" s="4" t="s">
        <v>28</v>
      </c>
      <c r="D2955" s="4" t="str">
        <f>"苏丽丽"</f>
        <v>苏丽丽</v>
      </c>
      <c r="E2955" s="4" t="str">
        <f t="shared" si="118"/>
        <v>女</v>
      </c>
    </row>
    <row r="2956" spans="1:5" ht="30" customHeight="1">
      <c r="A2956" s="4">
        <v>2954</v>
      </c>
      <c r="B2956" s="4" t="str">
        <f>"39712022060120101181996"</f>
        <v>39712022060120101181996</v>
      </c>
      <c r="C2956" s="4" t="s">
        <v>28</v>
      </c>
      <c r="D2956" s="4" t="str">
        <f>"林妍"</f>
        <v>林妍</v>
      </c>
      <c r="E2956" s="4" t="str">
        <f t="shared" si="118"/>
        <v>女</v>
      </c>
    </row>
    <row r="2957" spans="1:5" ht="30" customHeight="1">
      <c r="A2957" s="4">
        <v>2955</v>
      </c>
      <c r="B2957" s="4" t="str">
        <f>"39712022060120204682042"</f>
        <v>39712022060120204682042</v>
      </c>
      <c r="C2957" s="4" t="s">
        <v>28</v>
      </c>
      <c r="D2957" s="4" t="str">
        <f>"吴翠英"</f>
        <v>吴翠英</v>
      </c>
      <c r="E2957" s="4" t="str">
        <f t="shared" si="118"/>
        <v>女</v>
      </c>
    </row>
    <row r="2958" spans="1:5" ht="30" customHeight="1">
      <c r="A2958" s="4">
        <v>2956</v>
      </c>
      <c r="B2958" s="4" t="str">
        <f>"39712022060120314582094"</f>
        <v>39712022060120314582094</v>
      </c>
      <c r="C2958" s="4" t="s">
        <v>28</v>
      </c>
      <c r="D2958" s="4" t="str">
        <f>"钟薇"</f>
        <v>钟薇</v>
      </c>
      <c r="E2958" s="4" t="str">
        <f t="shared" si="118"/>
        <v>女</v>
      </c>
    </row>
    <row r="2959" spans="1:5" ht="30" customHeight="1">
      <c r="A2959" s="4">
        <v>2957</v>
      </c>
      <c r="B2959" s="4" t="str">
        <f>"39712022060120341882103"</f>
        <v>39712022060120341882103</v>
      </c>
      <c r="C2959" s="4" t="s">
        <v>28</v>
      </c>
      <c r="D2959" s="4" t="str">
        <f>"余莉"</f>
        <v>余莉</v>
      </c>
      <c r="E2959" s="4" t="str">
        <f t="shared" si="118"/>
        <v>女</v>
      </c>
    </row>
    <row r="2960" spans="1:5" ht="30" customHeight="1">
      <c r="A2960" s="4">
        <v>2958</v>
      </c>
      <c r="B2960" s="4" t="str">
        <f>"39712022060120361582112"</f>
        <v>39712022060120361582112</v>
      </c>
      <c r="C2960" s="4" t="s">
        <v>28</v>
      </c>
      <c r="D2960" s="4" t="str">
        <f>"王乙舒"</f>
        <v>王乙舒</v>
      </c>
      <c r="E2960" s="4" t="str">
        <f t="shared" si="118"/>
        <v>女</v>
      </c>
    </row>
    <row r="2961" spans="1:5" ht="30" customHeight="1">
      <c r="A2961" s="4">
        <v>2959</v>
      </c>
      <c r="B2961" s="4" t="str">
        <f>"39712022060120420082135"</f>
        <v>39712022060120420082135</v>
      </c>
      <c r="C2961" s="4" t="s">
        <v>28</v>
      </c>
      <c r="D2961" s="4" t="str">
        <f>"马雯雯"</f>
        <v>马雯雯</v>
      </c>
      <c r="E2961" s="4" t="str">
        <f t="shared" si="118"/>
        <v>女</v>
      </c>
    </row>
    <row r="2962" spans="1:5" ht="30" customHeight="1">
      <c r="A2962" s="4">
        <v>2960</v>
      </c>
      <c r="B2962" s="4" t="str">
        <f>"39712022060120454782157"</f>
        <v>39712022060120454782157</v>
      </c>
      <c r="C2962" s="4" t="s">
        <v>28</v>
      </c>
      <c r="D2962" s="4" t="str">
        <f>"陈小月"</f>
        <v>陈小月</v>
      </c>
      <c r="E2962" s="4" t="str">
        <f t="shared" si="118"/>
        <v>女</v>
      </c>
    </row>
    <row r="2963" spans="1:5" ht="30" customHeight="1">
      <c r="A2963" s="4">
        <v>2961</v>
      </c>
      <c r="B2963" s="4" t="str">
        <f>"39712022060120493082174"</f>
        <v>39712022060120493082174</v>
      </c>
      <c r="C2963" s="4" t="s">
        <v>28</v>
      </c>
      <c r="D2963" s="4" t="str">
        <f>"黄朝华"</f>
        <v>黄朝华</v>
      </c>
      <c r="E2963" s="4" t="str">
        <f t="shared" si="118"/>
        <v>女</v>
      </c>
    </row>
    <row r="2964" spans="1:5" ht="30" customHeight="1">
      <c r="A2964" s="4">
        <v>2962</v>
      </c>
      <c r="B2964" s="4" t="str">
        <f>"39712022060120542782197"</f>
        <v>39712022060120542782197</v>
      </c>
      <c r="C2964" s="4" t="s">
        <v>28</v>
      </c>
      <c r="D2964" s="4" t="str">
        <f>"林秀带"</f>
        <v>林秀带</v>
      </c>
      <c r="E2964" s="4" t="str">
        <f t="shared" si="118"/>
        <v>女</v>
      </c>
    </row>
    <row r="2965" spans="1:5" ht="30" customHeight="1">
      <c r="A2965" s="4">
        <v>2963</v>
      </c>
      <c r="B2965" s="4" t="str">
        <f>"39712022060120561682205"</f>
        <v>39712022060120561682205</v>
      </c>
      <c r="C2965" s="4" t="s">
        <v>28</v>
      </c>
      <c r="D2965" s="4" t="str">
        <f>"万传芳"</f>
        <v>万传芳</v>
      </c>
      <c r="E2965" s="4" t="str">
        <f t="shared" si="118"/>
        <v>女</v>
      </c>
    </row>
    <row r="2966" spans="1:5" ht="30" customHeight="1">
      <c r="A2966" s="4">
        <v>2964</v>
      </c>
      <c r="B2966" s="4" t="str">
        <f>"39712022060121173382313"</f>
        <v>39712022060121173382313</v>
      </c>
      <c r="C2966" s="4" t="s">
        <v>28</v>
      </c>
      <c r="D2966" s="4" t="str">
        <f>"唐传婷"</f>
        <v>唐传婷</v>
      </c>
      <c r="E2966" s="4" t="str">
        <f t="shared" si="118"/>
        <v>女</v>
      </c>
    </row>
    <row r="2967" spans="1:5" ht="30" customHeight="1">
      <c r="A2967" s="4">
        <v>2965</v>
      </c>
      <c r="B2967" s="4" t="str">
        <f>"39712022060121221082339"</f>
        <v>39712022060121221082339</v>
      </c>
      <c r="C2967" s="4" t="s">
        <v>28</v>
      </c>
      <c r="D2967" s="4" t="str">
        <f>"符艺羚"</f>
        <v>符艺羚</v>
      </c>
      <c r="E2967" s="4" t="str">
        <f t="shared" si="118"/>
        <v>女</v>
      </c>
    </row>
    <row r="2968" spans="1:5" ht="30" customHeight="1">
      <c r="A2968" s="4">
        <v>2966</v>
      </c>
      <c r="B2968" s="4" t="str">
        <f>"39712022060121255582358"</f>
        <v>39712022060121255582358</v>
      </c>
      <c r="C2968" s="4" t="s">
        <v>28</v>
      </c>
      <c r="D2968" s="4" t="str">
        <f>"廖春婷"</f>
        <v>廖春婷</v>
      </c>
      <c r="E2968" s="4" t="str">
        <f t="shared" si="118"/>
        <v>女</v>
      </c>
    </row>
    <row r="2969" spans="1:5" ht="30" customHeight="1">
      <c r="A2969" s="4">
        <v>2967</v>
      </c>
      <c r="B2969" s="4" t="str">
        <f>"39712022060121301882380"</f>
        <v>39712022060121301882380</v>
      </c>
      <c r="C2969" s="4" t="s">
        <v>28</v>
      </c>
      <c r="D2969" s="4" t="str">
        <f>"夏玫"</f>
        <v>夏玫</v>
      </c>
      <c r="E2969" s="4" t="str">
        <f t="shared" si="118"/>
        <v>女</v>
      </c>
    </row>
    <row r="2970" spans="1:5" ht="30" customHeight="1">
      <c r="A2970" s="4">
        <v>2968</v>
      </c>
      <c r="B2970" s="4" t="str">
        <f>"39712022060121323182398"</f>
        <v>39712022060121323182398</v>
      </c>
      <c r="C2970" s="4" t="s">
        <v>28</v>
      </c>
      <c r="D2970" s="4" t="str">
        <f>"林朝蕾"</f>
        <v>林朝蕾</v>
      </c>
      <c r="E2970" s="4" t="str">
        <f t="shared" si="118"/>
        <v>女</v>
      </c>
    </row>
    <row r="2971" spans="1:5" ht="30" customHeight="1">
      <c r="A2971" s="4">
        <v>2969</v>
      </c>
      <c r="B2971" s="4" t="str">
        <f>"39712022060121334482406"</f>
        <v>39712022060121334482406</v>
      </c>
      <c r="C2971" s="4" t="s">
        <v>28</v>
      </c>
      <c r="D2971" s="4" t="str">
        <f>"钟海婷"</f>
        <v>钟海婷</v>
      </c>
      <c r="E2971" s="4" t="str">
        <f t="shared" si="118"/>
        <v>女</v>
      </c>
    </row>
    <row r="2972" spans="1:5" ht="30" customHeight="1">
      <c r="A2972" s="4">
        <v>2970</v>
      </c>
      <c r="B2972" s="4" t="str">
        <f>"39712022060121352282418"</f>
        <v>39712022060121352282418</v>
      </c>
      <c r="C2972" s="4" t="s">
        <v>28</v>
      </c>
      <c r="D2972" s="4" t="str">
        <f>"王详"</f>
        <v>王详</v>
      </c>
      <c r="E2972" s="4" t="str">
        <f>"男"</f>
        <v>男</v>
      </c>
    </row>
    <row r="2973" spans="1:5" ht="30" customHeight="1">
      <c r="A2973" s="4">
        <v>2971</v>
      </c>
      <c r="B2973" s="4" t="str">
        <f>"39712022060121511382508"</f>
        <v>39712022060121511382508</v>
      </c>
      <c r="C2973" s="4" t="s">
        <v>28</v>
      </c>
      <c r="D2973" s="4" t="str">
        <f>"谢燕"</f>
        <v>谢燕</v>
      </c>
      <c r="E2973" s="4" t="str">
        <f>"女"</f>
        <v>女</v>
      </c>
    </row>
    <row r="2974" spans="1:5" ht="30" customHeight="1">
      <c r="A2974" s="4">
        <v>2972</v>
      </c>
      <c r="B2974" s="4" t="str">
        <f>"39712022060121534982520"</f>
        <v>39712022060121534982520</v>
      </c>
      <c r="C2974" s="4" t="s">
        <v>28</v>
      </c>
      <c r="D2974" s="4" t="str">
        <f>"熊文静"</f>
        <v>熊文静</v>
      </c>
      <c r="E2974" s="4" t="str">
        <f>"女"</f>
        <v>女</v>
      </c>
    </row>
    <row r="2975" spans="1:5" ht="30" customHeight="1">
      <c r="A2975" s="4">
        <v>2973</v>
      </c>
      <c r="B2975" s="4" t="str">
        <f>"39712022060122011782563"</f>
        <v>39712022060122011782563</v>
      </c>
      <c r="C2975" s="4" t="s">
        <v>28</v>
      </c>
      <c r="D2975" s="4" t="str">
        <f>"李敏"</f>
        <v>李敏</v>
      </c>
      <c r="E2975" s="4" t="str">
        <f>"女"</f>
        <v>女</v>
      </c>
    </row>
    <row r="2976" spans="1:5" ht="30" customHeight="1">
      <c r="A2976" s="4">
        <v>2974</v>
      </c>
      <c r="B2976" s="4" t="str">
        <f>"39712022060122060182591"</f>
        <v>39712022060122060182591</v>
      </c>
      <c r="C2976" s="4" t="s">
        <v>28</v>
      </c>
      <c r="D2976" s="4" t="str">
        <f>"潘敏敏"</f>
        <v>潘敏敏</v>
      </c>
      <c r="E2976" s="4" t="str">
        <f>"女"</f>
        <v>女</v>
      </c>
    </row>
    <row r="2977" spans="1:5" ht="30" customHeight="1">
      <c r="A2977" s="4">
        <v>2975</v>
      </c>
      <c r="B2977" s="4" t="str">
        <f>"39712022060122133782637"</f>
        <v>39712022060122133782637</v>
      </c>
      <c r="C2977" s="4" t="s">
        <v>28</v>
      </c>
      <c r="D2977" s="4" t="str">
        <f>"梁其尧"</f>
        <v>梁其尧</v>
      </c>
      <c r="E2977" s="4" t="str">
        <f>"男"</f>
        <v>男</v>
      </c>
    </row>
    <row r="2978" spans="1:5" ht="30" customHeight="1">
      <c r="A2978" s="4">
        <v>2976</v>
      </c>
      <c r="B2978" s="4" t="str">
        <f>"39712022060122260482703"</f>
        <v>39712022060122260482703</v>
      </c>
      <c r="C2978" s="4" t="s">
        <v>28</v>
      </c>
      <c r="D2978" s="4" t="str">
        <f>"蒋金芳"</f>
        <v>蒋金芳</v>
      </c>
      <c r="E2978" s="4" t="str">
        <f aca="true" t="shared" si="119" ref="E2978:E3017">"女"</f>
        <v>女</v>
      </c>
    </row>
    <row r="2979" spans="1:5" ht="30" customHeight="1">
      <c r="A2979" s="4">
        <v>2977</v>
      </c>
      <c r="B2979" s="4" t="str">
        <f>"39712022060122303282721"</f>
        <v>39712022060122303282721</v>
      </c>
      <c r="C2979" s="4" t="s">
        <v>28</v>
      </c>
      <c r="D2979" s="4" t="str">
        <f>"吴海萍"</f>
        <v>吴海萍</v>
      </c>
      <c r="E2979" s="4" t="str">
        <f t="shared" si="119"/>
        <v>女</v>
      </c>
    </row>
    <row r="2980" spans="1:5" ht="30" customHeight="1">
      <c r="A2980" s="4">
        <v>2978</v>
      </c>
      <c r="B2980" s="4" t="str">
        <f>"39712022060122323782732"</f>
        <v>39712022060122323782732</v>
      </c>
      <c r="C2980" s="4" t="s">
        <v>28</v>
      </c>
      <c r="D2980" s="4" t="str">
        <f>"陈诗怡"</f>
        <v>陈诗怡</v>
      </c>
      <c r="E2980" s="4" t="str">
        <f t="shared" si="119"/>
        <v>女</v>
      </c>
    </row>
    <row r="2981" spans="1:5" ht="30" customHeight="1">
      <c r="A2981" s="4">
        <v>2979</v>
      </c>
      <c r="B2981" s="4" t="str">
        <f>"39712022060122334582742"</f>
        <v>39712022060122334582742</v>
      </c>
      <c r="C2981" s="4" t="s">
        <v>28</v>
      </c>
      <c r="D2981" s="4" t="str">
        <f>"吴婕娜"</f>
        <v>吴婕娜</v>
      </c>
      <c r="E2981" s="4" t="str">
        <f t="shared" si="119"/>
        <v>女</v>
      </c>
    </row>
    <row r="2982" spans="1:5" ht="30" customHeight="1">
      <c r="A2982" s="4">
        <v>2980</v>
      </c>
      <c r="B2982" s="4" t="str">
        <f>"39712022060122343282746"</f>
        <v>39712022060122343282746</v>
      </c>
      <c r="C2982" s="4" t="s">
        <v>28</v>
      </c>
      <c r="D2982" s="4" t="str">
        <f>"潘宜慧"</f>
        <v>潘宜慧</v>
      </c>
      <c r="E2982" s="4" t="str">
        <f t="shared" si="119"/>
        <v>女</v>
      </c>
    </row>
    <row r="2983" spans="1:5" ht="30" customHeight="1">
      <c r="A2983" s="4">
        <v>2981</v>
      </c>
      <c r="B2983" s="4" t="str">
        <f>"39712022060122372982761"</f>
        <v>39712022060122372982761</v>
      </c>
      <c r="C2983" s="4" t="s">
        <v>28</v>
      </c>
      <c r="D2983" s="4" t="str">
        <f>"文丹"</f>
        <v>文丹</v>
      </c>
      <c r="E2983" s="4" t="str">
        <f t="shared" si="119"/>
        <v>女</v>
      </c>
    </row>
    <row r="2984" spans="1:5" ht="30" customHeight="1">
      <c r="A2984" s="4">
        <v>2982</v>
      </c>
      <c r="B2984" s="4" t="str">
        <f>"39712022060122391182765"</f>
        <v>39712022060122391182765</v>
      </c>
      <c r="C2984" s="4" t="s">
        <v>28</v>
      </c>
      <c r="D2984" s="4" t="str">
        <f>"王芷仙"</f>
        <v>王芷仙</v>
      </c>
      <c r="E2984" s="4" t="str">
        <f t="shared" si="119"/>
        <v>女</v>
      </c>
    </row>
    <row r="2985" spans="1:5" ht="30" customHeight="1">
      <c r="A2985" s="4">
        <v>2983</v>
      </c>
      <c r="B2985" s="4" t="str">
        <f>"39712022060122405682772"</f>
        <v>39712022060122405682772</v>
      </c>
      <c r="C2985" s="4" t="s">
        <v>28</v>
      </c>
      <c r="D2985" s="4" t="str">
        <f>"王晓菊"</f>
        <v>王晓菊</v>
      </c>
      <c r="E2985" s="4" t="str">
        <f t="shared" si="119"/>
        <v>女</v>
      </c>
    </row>
    <row r="2986" spans="1:5" ht="30" customHeight="1">
      <c r="A2986" s="4">
        <v>2984</v>
      </c>
      <c r="B2986" s="4" t="str">
        <f>"39712022060123000482866"</f>
        <v>39712022060123000482866</v>
      </c>
      <c r="C2986" s="4" t="s">
        <v>28</v>
      </c>
      <c r="D2986" s="4" t="str">
        <f>"王怀莉"</f>
        <v>王怀莉</v>
      </c>
      <c r="E2986" s="4" t="str">
        <f t="shared" si="119"/>
        <v>女</v>
      </c>
    </row>
    <row r="2987" spans="1:5" ht="30" customHeight="1">
      <c r="A2987" s="4">
        <v>2985</v>
      </c>
      <c r="B2987" s="4" t="str">
        <f>"39712022060123052382883"</f>
        <v>39712022060123052382883</v>
      </c>
      <c r="C2987" s="4" t="s">
        <v>28</v>
      </c>
      <c r="D2987" s="4" t="str">
        <f>"陈慧怡"</f>
        <v>陈慧怡</v>
      </c>
      <c r="E2987" s="4" t="str">
        <f t="shared" si="119"/>
        <v>女</v>
      </c>
    </row>
    <row r="2988" spans="1:5" ht="30" customHeight="1">
      <c r="A2988" s="4">
        <v>2986</v>
      </c>
      <c r="B2988" s="4" t="str">
        <f>"39712022060123075782894"</f>
        <v>39712022060123075782894</v>
      </c>
      <c r="C2988" s="4" t="s">
        <v>28</v>
      </c>
      <c r="D2988" s="4" t="str">
        <f>"曾萍"</f>
        <v>曾萍</v>
      </c>
      <c r="E2988" s="4" t="str">
        <f t="shared" si="119"/>
        <v>女</v>
      </c>
    </row>
    <row r="2989" spans="1:5" ht="30" customHeight="1">
      <c r="A2989" s="4">
        <v>2987</v>
      </c>
      <c r="B2989" s="4" t="str">
        <f>"39712022060123093282901"</f>
        <v>39712022060123093282901</v>
      </c>
      <c r="C2989" s="4" t="s">
        <v>28</v>
      </c>
      <c r="D2989" s="4" t="str">
        <f>"叶丽雨"</f>
        <v>叶丽雨</v>
      </c>
      <c r="E2989" s="4" t="str">
        <f t="shared" si="119"/>
        <v>女</v>
      </c>
    </row>
    <row r="2990" spans="1:5" ht="30" customHeight="1">
      <c r="A2990" s="4">
        <v>2988</v>
      </c>
      <c r="B2990" s="4" t="str">
        <f>"39712022060123095982903"</f>
        <v>39712022060123095982903</v>
      </c>
      <c r="C2990" s="4" t="s">
        <v>28</v>
      </c>
      <c r="D2990" s="4" t="str">
        <f>"俞淑珍"</f>
        <v>俞淑珍</v>
      </c>
      <c r="E2990" s="4" t="str">
        <f t="shared" si="119"/>
        <v>女</v>
      </c>
    </row>
    <row r="2991" spans="1:5" ht="30" customHeight="1">
      <c r="A2991" s="4">
        <v>2989</v>
      </c>
      <c r="B2991" s="4" t="str">
        <f>"39712022060123141682925"</f>
        <v>39712022060123141682925</v>
      </c>
      <c r="C2991" s="4" t="s">
        <v>28</v>
      </c>
      <c r="D2991" s="4" t="str">
        <f>"傅丽雅"</f>
        <v>傅丽雅</v>
      </c>
      <c r="E2991" s="4" t="str">
        <f t="shared" si="119"/>
        <v>女</v>
      </c>
    </row>
    <row r="2992" spans="1:5" ht="30" customHeight="1">
      <c r="A2992" s="4">
        <v>2990</v>
      </c>
      <c r="B2992" s="4" t="str">
        <f>"39712022060123164282933"</f>
        <v>39712022060123164282933</v>
      </c>
      <c r="C2992" s="4" t="s">
        <v>28</v>
      </c>
      <c r="D2992" s="4" t="str">
        <f>"朱娇娟"</f>
        <v>朱娇娟</v>
      </c>
      <c r="E2992" s="4" t="str">
        <f t="shared" si="119"/>
        <v>女</v>
      </c>
    </row>
    <row r="2993" spans="1:5" ht="30" customHeight="1">
      <c r="A2993" s="4">
        <v>2991</v>
      </c>
      <c r="B2993" s="4" t="str">
        <f>"39712022060123481383013"</f>
        <v>39712022060123481383013</v>
      </c>
      <c r="C2993" s="4" t="s">
        <v>28</v>
      </c>
      <c r="D2993" s="4" t="str">
        <f>"苏恩槿"</f>
        <v>苏恩槿</v>
      </c>
      <c r="E2993" s="4" t="str">
        <f t="shared" si="119"/>
        <v>女</v>
      </c>
    </row>
    <row r="2994" spans="1:5" ht="30" customHeight="1">
      <c r="A2994" s="4">
        <v>2992</v>
      </c>
      <c r="B2994" s="4" t="str">
        <f>"39712022060123562383035"</f>
        <v>39712022060123562383035</v>
      </c>
      <c r="C2994" s="4" t="s">
        <v>28</v>
      </c>
      <c r="D2994" s="4" t="str">
        <f>"陈姝妍"</f>
        <v>陈姝妍</v>
      </c>
      <c r="E2994" s="4" t="str">
        <f t="shared" si="119"/>
        <v>女</v>
      </c>
    </row>
    <row r="2995" spans="1:5" ht="30" customHeight="1">
      <c r="A2995" s="4">
        <v>2993</v>
      </c>
      <c r="B2995" s="4" t="str">
        <f>"39712022060200040183048"</f>
        <v>39712022060200040183048</v>
      </c>
      <c r="C2995" s="4" t="s">
        <v>28</v>
      </c>
      <c r="D2995" s="4" t="str">
        <f>"王梦飞"</f>
        <v>王梦飞</v>
      </c>
      <c r="E2995" s="4" t="str">
        <f t="shared" si="119"/>
        <v>女</v>
      </c>
    </row>
    <row r="2996" spans="1:5" ht="30" customHeight="1">
      <c r="A2996" s="4">
        <v>2994</v>
      </c>
      <c r="B2996" s="4" t="str">
        <f>"39712022060200062083052"</f>
        <v>39712022060200062083052</v>
      </c>
      <c r="C2996" s="4" t="s">
        <v>28</v>
      </c>
      <c r="D2996" s="4" t="str">
        <f>"云琼雨"</f>
        <v>云琼雨</v>
      </c>
      <c r="E2996" s="4" t="str">
        <f t="shared" si="119"/>
        <v>女</v>
      </c>
    </row>
    <row r="2997" spans="1:5" ht="30" customHeight="1">
      <c r="A2997" s="4">
        <v>2995</v>
      </c>
      <c r="B2997" s="4" t="str">
        <f>"39712022060200062883053"</f>
        <v>39712022060200062883053</v>
      </c>
      <c r="C2997" s="4" t="s">
        <v>28</v>
      </c>
      <c r="D2997" s="4" t="str">
        <f>"陈雨"</f>
        <v>陈雨</v>
      </c>
      <c r="E2997" s="4" t="str">
        <f t="shared" si="119"/>
        <v>女</v>
      </c>
    </row>
    <row r="2998" spans="1:5" ht="30" customHeight="1">
      <c r="A2998" s="4">
        <v>2996</v>
      </c>
      <c r="B2998" s="4" t="str">
        <f>"39712022060200562183115"</f>
        <v>39712022060200562183115</v>
      </c>
      <c r="C2998" s="4" t="s">
        <v>28</v>
      </c>
      <c r="D2998" s="4" t="str">
        <f>"盛殿枫"</f>
        <v>盛殿枫</v>
      </c>
      <c r="E2998" s="4" t="str">
        <f t="shared" si="119"/>
        <v>女</v>
      </c>
    </row>
    <row r="2999" spans="1:5" ht="30" customHeight="1">
      <c r="A2999" s="4">
        <v>2997</v>
      </c>
      <c r="B2999" s="4" t="str">
        <f>"39712022060206413283158"</f>
        <v>39712022060206413283158</v>
      </c>
      <c r="C2999" s="4" t="s">
        <v>28</v>
      </c>
      <c r="D2999" s="4" t="str">
        <f>"黎婷婷"</f>
        <v>黎婷婷</v>
      </c>
      <c r="E2999" s="4" t="str">
        <f t="shared" si="119"/>
        <v>女</v>
      </c>
    </row>
    <row r="3000" spans="1:5" ht="30" customHeight="1">
      <c r="A3000" s="4">
        <v>2998</v>
      </c>
      <c r="B3000" s="4" t="str">
        <f>"39712022060207271283189"</f>
        <v>39712022060207271283189</v>
      </c>
      <c r="C3000" s="4" t="s">
        <v>28</v>
      </c>
      <c r="D3000" s="4" t="str">
        <f>"陈香羽"</f>
        <v>陈香羽</v>
      </c>
      <c r="E3000" s="4" t="str">
        <f t="shared" si="119"/>
        <v>女</v>
      </c>
    </row>
    <row r="3001" spans="1:5" ht="30" customHeight="1">
      <c r="A3001" s="4">
        <v>2999</v>
      </c>
      <c r="B3001" s="4" t="str">
        <f>"39712022060208121683251"</f>
        <v>39712022060208121683251</v>
      </c>
      <c r="C3001" s="4" t="s">
        <v>28</v>
      </c>
      <c r="D3001" s="4" t="str">
        <f>"王小妹"</f>
        <v>王小妹</v>
      </c>
      <c r="E3001" s="4" t="str">
        <f t="shared" si="119"/>
        <v>女</v>
      </c>
    </row>
    <row r="3002" spans="1:5" ht="30" customHeight="1">
      <c r="A3002" s="4">
        <v>3000</v>
      </c>
      <c r="B3002" s="4" t="str">
        <f>"39712022060208144183260"</f>
        <v>39712022060208144183260</v>
      </c>
      <c r="C3002" s="4" t="s">
        <v>28</v>
      </c>
      <c r="D3002" s="4" t="str">
        <f>"黄媛媛"</f>
        <v>黄媛媛</v>
      </c>
      <c r="E3002" s="4" t="str">
        <f t="shared" si="119"/>
        <v>女</v>
      </c>
    </row>
    <row r="3003" spans="1:5" ht="30" customHeight="1">
      <c r="A3003" s="4">
        <v>3001</v>
      </c>
      <c r="B3003" s="4" t="str">
        <f>"39712022060208175283275"</f>
        <v>39712022060208175283275</v>
      </c>
      <c r="C3003" s="4" t="s">
        <v>28</v>
      </c>
      <c r="D3003" s="4" t="str">
        <f>"方飞曼"</f>
        <v>方飞曼</v>
      </c>
      <c r="E3003" s="4" t="str">
        <f t="shared" si="119"/>
        <v>女</v>
      </c>
    </row>
    <row r="3004" spans="1:5" ht="30" customHeight="1">
      <c r="A3004" s="4">
        <v>3002</v>
      </c>
      <c r="B3004" s="4" t="str">
        <f>"39712022060208192083281"</f>
        <v>39712022060208192083281</v>
      </c>
      <c r="C3004" s="4" t="s">
        <v>28</v>
      </c>
      <c r="D3004" s="4" t="str">
        <f>"王媛"</f>
        <v>王媛</v>
      </c>
      <c r="E3004" s="4" t="str">
        <f t="shared" si="119"/>
        <v>女</v>
      </c>
    </row>
    <row r="3005" spans="1:5" ht="30" customHeight="1">
      <c r="A3005" s="4">
        <v>3003</v>
      </c>
      <c r="B3005" s="4" t="str">
        <f>"39712022060208192183282"</f>
        <v>39712022060208192183282</v>
      </c>
      <c r="C3005" s="4" t="s">
        <v>28</v>
      </c>
      <c r="D3005" s="4" t="str">
        <f>"黄春颖"</f>
        <v>黄春颖</v>
      </c>
      <c r="E3005" s="4" t="str">
        <f t="shared" si="119"/>
        <v>女</v>
      </c>
    </row>
    <row r="3006" spans="1:5" ht="30" customHeight="1">
      <c r="A3006" s="4">
        <v>3004</v>
      </c>
      <c r="B3006" s="4" t="str">
        <f>"39712022060208393083386"</f>
        <v>39712022060208393083386</v>
      </c>
      <c r="C3006" s="4" t="s">
        <v>28</v>
      </c>
      <c r="D3006" s="4" t="str">
        <f>"黎玉兰"</f>
        <v>黎玉兰</v>
      </c>
      <c r="E3006" s="4" t="str">
        <f t="shared" si="119"/>
        <v>女</v>
      </c>
    </row>
    <row r="3007" spans="1:5" ht="30" customHeight="1">
      <c r="A3007" s="4">
        <v>3005</v>
      </c>
      <c r="B3007" s="4" t="str">
        <f>"39712022060208395383390"</f>
        <v>39712022060208395383390</v>
      </c>
      <c r="C3007" s="4" t="s">
        <v>28</v>
      </c>
      <c r="D3007" s="4" t="str">
        <f>"孙芋"</f>
        <v>孙芋</v>
      </c>
      <c r="E3007" s="4" t="str">
        <f t="shared" si="119"/>
        <v>女</v>
      </c>
    </row>
    <row r="3008" spans="1:5" ht="30" customHeight="1">
      <c r="A3008" s="4">
        <v>3006</v>
      </c>
      <c r="B3008" s="4" t="str">
        <f>"39712022060208401183391"</f>
        <v>39712022060208401183391</v>
      </c>
      <c r="C3008" s="4" t="s">
        <v>28</v>
      </c>
      <c r="D3008" s="4" t="str">
        <f>"王娟"</f>
        <v>王娟</v>
      </c>
      <c r="E3008" s="4" t="str">
        <f t="shared" si="119"/>
        <v>女</v>
      </c>
    </row>
    <row r="3009" spans="1:5" ht="30" customHeight="1">
      <c r="A3009" s="4">
        <v>3007</v>
      </c>
      <c r="B3009" s="4" t="str">
        <f>"39712022060208414783397"</f>
        <v>39712022060208414783397</v>
      </c>
      <c r="C3009" s="4" t="s">
        <v>28</v>
      </c>
      <c r="D3009" s="4" t="str">
        <f>"赵桐"</f>
        <v>赵桐</v>
      </c>
      <c r="E3009" s="4" t="str">
        <f t="shared" si="119"/>
        <v>女</v>
      </c>
    </row>
    <row r="3010" spans="1:5" ht="30" customHeight="1">
      <c r="A3010" s="4">
        <v>3008</v>
      </c>
      <c r="B3010" s="4" t="str">
        <f>"39712022060208421983400"</f>
        <v>39712022060208421983400</v>
      </c>
      <c r="C3010" s="4" t="s">
        <v>28</v>
      </c>
      <c r="D3010" s="4" t="str">
        <f>"郝素净"</f>
        <v>郝素净</v>
      </c>
      <c r="E3010" s="4" t="str">
        <f t="shared" si="119"/>
        <v>女</v>
      </c>
    </row>
    <row r="3011" spans="1:5" ht="30" customHeight="1">
      <c r="A3011" s="4">
        <v>3009</v>
      </c>
      <c r="B3011" s="4" t="str">
        <f>"39712022060208463583423"</f>
        <v>39712022060208463583423</v>
      </c>
      <c r="C3011" s="4" t="s">
        <v>28</v>
      </c>
      <c r="D3011" s="4" t="str">
        <f>"符淑芯"</f>
        <v>符淑芯</v>
      </c>
      <c r="E3011" s="4" t="str">
        <f t="shared" si="119"/>
        <v>女</v>
      </c>
    </row>
    <row r="3012" spans="1:5" ht="30" customHeight="1">
      <c r="A3012" s="4">
        <v>3010</v>
      </c>
      <c r="B3012" s="4" t="str">
        <f>"39712022060208475283432"</f>
        <v>39712022060208475283432</v>
      </c>
      <c r="C3012" s="4" t="s">
        <v>28</v>
      </c>
      <c r="D3012" s="4" t="str">
        <f>"陈小宇"</f>
        <v>陈小宇</v>
      </c>
      <c r="E3012" s="4" t="str">
        <f t="shared" si="119"/>
        <v>女</v>
      </c>
    </row>
    <row r="3013" spans="1:5" ht="30" customHeight="1">
      <c r="A3013" s="4">
        <v>3011</v>
      </c>
      <c r="B3013" s="4" t="str">
        <f>"39712022060208481983435"</f>
        <v>39712022060208481983435</v>
      </c>
      <c r="C3013" s="4" t="s">
        <v>28</v>
      </c>
      <c r="D3013" s="4" t="str">
        <f>"郑鲜妍"</f>
        <v>郑鲜妍</v>
      </c>
      <c r="E3013" s="4" t="str">
        <f t="shared" si="119"/>
        <v>女</v>
      </c>
    </row>
    <row r="3014" spans="1:5" ht="30" customHeight="1">
      <c r="A3014" s="4">
        <v>3012</v>
      </c>
      <c r="B3014" s="4" t="str">
        <f>"39712022060208502483449"</f>
        <v>39712022060208502483449</v>
      </c>
      <c r="C3014" s="4" t="s">
        <v>28</v>
      </c>
      <c r="D3014" s="4" t="str">
        <f>"羊晓颖"</f>
        <v>羊晓颖</v>
      </c>
      <c r="E3014" s="4" t="str">
        <f t="shared" si="119"/>
        <v>女</v>
      </c>
    </row>
    <row r="3015" spans="1:5" ht="30" customHeight="1">
      <c r="A3015" s="4">
        <v>3013</v>
      </c>
      <c r="B3015" s="4" t="str">
        <f>"39712022060208525983466"</f>
        <v>39712022060208525983466</v>
      </c>
      <c r="C3015" s="4" t="s">
        <v>28</v>
      </c>
      <c r="D3015" s="4" t="str">
        <f>"吴雪菲"</f>
        <v>吴雪菲</v>
      </c>
      <c r="E3015" s="4" t="str">
        <f t="shared" si="119"/>
        <v>女</v>
      </c>
    </row>
    <row r="3016" spans="1:5" ht="30" customHeight="1">
      <c r="A3016" s="4">
        <v>3014</v>
      </c>
      <c r="B3016" s="4" t="str">
        <f>"39712022060208554783481"</f>
        <v>39712022060208554783481</v>
      </c>
      <c r="C3016" s="4" t="s">
        <v>28</v>
      </c>
      <c r="D3016" s="4" t="str">
        <f>"徐雄姣"</f>
        <v>徐雄姣</v>
      </c>
      <c r="E3016" s="4" t="str">
        <f t="shared" si="119"/>
        <v>女</v>
      </c>
    </row>
    <row r="3017" spans="1:5" ht="30" customHeight="1">
      <c r="A3017" s="4">
        <v>3015</v>
      </c>
      <c r="B3017" s="4" t="str">
        <f>"39712022060209034783525"</f>
        <v>39712022060209034783525</v>
      </c>
      <c r="C3017" s="4" t="s">
        <v>28</v>
      </c>
      <c r="D3017" s="4" t="str">
        <f>"黄钰斐"</f>
        <v>黄钰斐</v>
      </c>
      <c r="E3017" s="4" t="str">
        <f t="shared" si="119"/>
        <v>女</v>
      </c>
    </row>
    <row r="3018" spans="1:5" ht="30" customHeight="1">
      <c r="A3018" s="4">
        <v>3016</v>
      </c>
      <c r="B3018" s="4" t="str">
        <f>"39712022060209043883534"</f>
        <v>39712022060209043883534</v>
      </c>
      <c r="C3018" s="4" t="s">
        <v>28</v>
      </c>
      <c r="D3018" s="4" t="str">
        <f>"郭泽锦"</f>
        <v>郭泽锦</v>
      </c>
      <c r="E3018" s="4" t="str">
        <f>"男"</f>
        <v>男</v>
      </c>
    </row>
    <row r="3019" spans="1:5" ht="30" customHeight="1">
      <c r="A3019" s="4">
        <v>3017</v>
      </c>
      <c r="B3019" s="4" t="str">
        <f>"39712022060209050083538"</f>
        <v>39712022060209050083538</v>
      </c>
      <c r="C3019" s="4" t="s">
        <v>28</v>
      </c>
      <c r="D3019" s="4" t="str">
        <f>"周艳娜"</f>
        <v>周艳娜</v>
      </c>
      <c r="E3019" s="4" t="str">
        <f aca="true" t="shared" si="120" ref="E3019:E3053">"女"</f>
        <v>女</v>
      </c>
    </row>
    <row r="3020" spans="1:5" ht="30" customHeight="1">
      <c r="A3020" s="4">
        <v>3018</v>
      </c>
      <c r="B3020" s="4" t="str">
        <f>"39712022060209051883542"</f>
        <v>39712022060209051883542</v>
      </c>
      <c r="C3020" s="4" t="s">
        <v>28</v>
      </c>
      <c r="D3020" s="4" t="str">
        <f>"周金莉"</f>
        <v>周金莉</v>
      </c>
      <c r="E3020" s="4" t="str">
        <f t="shared" si="120"/>
        <v>女</v>
      </c>
    </row>
    <row r="3021" spans="1:5" ht="30" customHeight="1">
      <c r="A3021" s="4">
        <v>3019</v>
      </c>
      <c r="B3021" s="4" t="str">
        <f>"39712022060209054783550"</f>
        <v>39712022060209054783550</v>
      </c>
      <c r="C3021" s="4" t="s">
        <v>28</v>
      </c>
      <c r="D3021" s="4" t="str">
        <f>"欧云敏"</f>
        <v>欧云敏</v>
      </c>
      <c r="E3021" s="4" t="str">
        <f t="shared" si="120"/>
        <v>女</v>
      </c>
    </row>
    <row r="3022" spans="1:5" ht="30" customHeight="1">
      <c r="A3022" s="4">
        <v>3020</v>
      </c>
      <c r="B3022" s="4" t="str">
        <f>"39712022060209065583561"</f>
        <v>39712022060209065583561</v>
      </c>
      <c r="C3022" s="4" t="s">
        <v>28</v>
      </c>
      <c r="D3022" s="4" t="str">
        <f>"王丽芬"</f>
        <v>王丽芬</v>
      </c>
      <c r="E3022" s="4" t="str">
        <f t="shared" si="120"/>
        <v>女</v>
      </c>
    </row>
    <row r="3023" spans="1:5" ht="30" customHeight="1">
      <c r="A3023" s="4">
        <v>3021</v>
      </c>
      <c r="B3023" s="4" t="str">
        <f>"39712022060209114883598"</f>
        <v>39712022060209114883598</v>
      </c>
      <c r="C3023" s="4" t="s">
        <v>28</v>
      </c>
      <c r="D3023" s="4" t="str">
        <f>"吴虹臻"</f>
        <v>吴虹臻</v>
      </c>
      <c r="E3023" s="4" t="str">
        <f t="shared" si="120"/>
        <v>女</v>
      </c>
    </row>
    <row r="3024" spans="1:5" ht="30" customHeight="1">
      <c r="A3024" s="4">
        <v>3022</v>
      </c>
      <c r="B3024" s="4" t="str">
        <f>"39712022060209153283620"</f>
        <v>39712022060209153283620</v>
      </c>
      <c r="C3024" s="4" t="s">
        <v>28</v>
      </c>
      <c r="D3024" s="4" t="str">
        <f>"符兰妍"</f>
        <v>符兰妍</v>
      </c>
      <c r="E3024" s="4" t="str">
        <f t="shared" si="120"/>
        <v>女</v>
      </c>
    </row>
    <row r="3025" spans="1:5" ht="30" customHeight="1">
      <c r="A3025" s="4">
        <v>3023</v>
      </c>
      <c r="B3025" s="4" t="str">
        <f>"39712022060209201683655"</f>
        <v>39712022060209201683655</v>
      </c>
      <c r="C3025" s="4" t="s">
        <v>28</v>
      </c>
      <c r="D3025" s="4" t="str">
        <f>"王慧"</f>
        <v>王慧</v>
      </c>
      <c r="E3025" s="4" t="str">
        <f t="shared" si="120"/>
        <v>女</v>
      </c>
    </row>
    <row r="3026" spans="1:5" ht="30" customHeight="1">
      <c r="A3026" s="4">
        <v>3024</v>
      </c>
      <c r="B3026" s="4" t="str">
        <f>"39712022060209222483674"</f>
        <v>39712022060209222483674</v>
      </c>
      <c r="C3026" s="4" t="s">
        <v>28</v>
      </c>
      <c r="D3026" s="4" t="str">
        <f>"杜尧玲"</f>
        <v>杜尧玲</v>
      </c>
      <c r="E3026" s="4" t="str">
        <f t="shared" si="120"/>
        <v>女</v>
      </c>
    </row>
    <row r="3027" spans="1:5" ht="30" customHeight="1">
      <c r="A3027" s="4">
        <v>3025</v>
      </c>
      <c r="B3027" s="4" t="str">
        <f>"39712022060209241683686"</f>
        <v>39712022060209241683686</v>
      </c>
      <c r="C3027" s="4" t="s">
        <v>28</v>
      </c>
      <c r="D3027" s="4" t="str">
        <f>"羊彩梦"</f>
        <v>羊彩梦</v>
      </c>
      <c r="E3027" s="4" t="str">
        <f t="shared" si="120"/>
        <v>女</v>
      </c>
    </row>
    <row r="3028" spans="1:5" ht="30" customHeight="1">
      <c r="A3028" s="4">
        <v>3026</v>
      </c>
      <c r="B3028" s="4" t="str">
        <f>"39712022060209302883727"</f>
        <v>39712022060209302883727</v>
      </c>
      <c r="C3028" s="4" t="s">
        <v>28</v>
      </c>
      <c r="D3028" s="4" t="str">
        <f>"陈梦婷"</f>
        <v>陈梦婷</v>
      </c>
      <c r="E3028" s="4" t="str">
        <f t="shared" si="120"/>
        <v>女</v>
      </c>
    </row>
    <row r="3029" spans="1:5" ht="30" customHeight="1">
      <c r="A3029" s="4">
        <v>3027</v>
      </c>
      <c r="B3029" s="4" t="str">
        <f>"39712022060209334383750"</f>
        <v>39712022060209334383750</v>
      </c>
      <c r="C3029" s="4" t="s">
        <v>28</v>
      </c>
      <c r="D3029" s="4" t="str">
        <f>"曾恋鸿"</f>
        <v>曾恋鸿</v>
      </c>
      <c r="E3029" s="4" t="str">
        <f t="shared" si="120"/>
        <v>女</v>
      </c>
    </row>
    <row r="3030" spans="1:5" ht="30" customHeight="1">
      <c r="A3030" s="4">
        <v>3028</v>
      </c>
      <c r="B3030" s="4" t="str">
        <f>"39712022060209344483760"</f>
        <v>39712022060209344483760</v>
      </c>
      <c r="C3030" s="4" t="s">
        <v>28</v>
      </c>
      <c r="D3030" s="4" t="str">
        <f>"符陈静"</f>
        <v>符陈静</v>
      </c>
      <c r="E3030" s="4" t="str">
        <f t="shared" si="120"/>
        <v>女</v>
      </c>
    </row>
    <row r="3031" spans="1:5" ht="30" customHeight="1">
      <c r="A3031" s="4">
        <v>3029</v>
      </c>
      <c r="B3031" s="4" t="str">
        <f>"39712022060209353283766"</f>
        <v>39712022060209353283766</v>
      </c>
      <c r="C3031" s="4" t="s">
        <v>28</v>
      </c>
      <c r="D3031" s="4" t="str">
        <f>"莫晓玲"</f>
        <v>莫晓玲</v>
      </c>
      <c r="E3031" s="4" t="str">
        <f t="shared" si="120"/>
        <v>女</v>
      </c>
    </row>
    <row r="3032" spans="1:5" ht="30" customHeight="1">
      <c r="A3032" s="4">
        <v>3030</v>
      </c>
      <c r="B3032" s="4" t="str">
        <f>"39712022060209433583829"</f>
        <v>39712022060209433583829</v>
      </c>
      <c r="C3032" s="4" t="s">
        <v>28</v>
      </c>
      <c r="D3032" s="4" t="str">
        <f>"陈春金"</f>
        <v>陈春金</v>
      </c>
      <c r="E3032" s="4" t="str">
        <f t="shared" si="120"/>
        <v>女</v>
      </c>
    </row>
    <row r="3033" spans="1:5" ht="30" customHeight="1">
      <c r="A3033" s="4">
        <v>3031</v>
      </c>
      <c r="B3033" s="4" t="str">
        <f>"39712022060209455583848"</f>
        <v>39712022060209455583848</v>
      </c>
      <c r="C3033" s="4" t="s">
        <v>28</v>
      </c>
      <c r="D3033" s="4" t="str">
        <f>"陈颖"</f>
        <v>陈颖</v>
      </c>
      <c r="E3033" s="4" t="str">
        <f t="shared" si="120"/>
        <v>女</v>
      </c>
    </row>
    <row r="3034" spans="1:5" ht="30" customHeight="1">
      <c r="A3034" s="4">
        <v>3032</v>
      </c>
      <c r="B3034" s="4" t="str">
        <f>"39712022060209481783863"</f>
        <v>39712022060209481783863</v>
      </c>
      <c r="C3034" s="4" t="s">
        <v>28</v>
      </c>
      <c r="D3034" s="4" t="str">
        <f>"羊翠"</f>
        <v>羊翠</v>
      </c>
      <c r="E3034" s="4" t="str">
        <f t="shared" si="120"/>
        <v>女</v>
      </c>
    </row>
    <row r="3035" spans="1:5" ht="30" customHeight="1">
      <c r="A3035" s="4">
        <v>3033</v>
      </c>
      <c r="B3035" s="4" t="str">
        <f>"39712022060209501883877"</f>
        <v>39712022060209501883877</v>
      </c>
      <c r="C3035" s="4" t="s">
        <v>28</v>
      </c>
      <c r="D3035" s="4" t="str">
        <f>"林静"</f>
        <v>林静</v>
      </c>
      <c r="E3035" s="4" t="str">
        <f t="shared" si="120"/>
        <v>女</v>
      </c>
    </row>
    <row r="3036" spans="1:5" ht="30" customHeight="1">
      <c r="A3036" s="4">
        <v>3034</v>
      </c>
      <c r="B3036" s="4" t="str">
        <f>"39712022060209520683892"</f>
        <v>39712022060209520683892</v>
      </c>
      <c r="C3036" s="4" t="s">
        <v>28</v>
      </c>
      <c r="D3036" s="4" t="str">
        <f>"柴智伟"</f>
        <v>柴智伟</v>
      </c>
      <c r="E3036" s="4" t="str">
        <f t="shared" si="120"/>
        <v>女</v>
      </c>
    </row>
    <row r="3037" spans="1:5" ht="30" customHeight="1">
      <c r="A3037" s="4">
        <v>3035</v>
      </c>
      <c r="B3037" s="4" t="str">
        <f>"39712022060209535583908"</f>
        <v>39712022060209535583908</v>
      </c>
      <c r="C3037" s="4" t="s">
        <v>28</v>
      </c>
      <c r="D3037" s="4" t="str">
        <f>"杜春慢"</f>
        <v>杜春慢</v>
      </c>
      <c r="E3037" s="4" t="str">
        <f t="shared" si="120"/>
        <v>女</v>
      </c>
    </row>
    <row r="3038" spans="1:5" ht="30" customHeight="1">
      <c r="A3038" s="4">
        <v>3036</v>
      </c>
      <c r="B3038" s="4" t="str">
        <f>"39712022060209564483928"</f>
        <v>39712022060209564483928</v>
      </c>
      <c r="C3038" s="4" t="s">
        <v>28</v>
      </c>
      <c r="D3038" s="4" t="str">
        <f>"王素娥"</f>
        <v>王素娥</v>
      </c>
      <c r="E3038" s="4" t="str">
        <f t="shared" si="120"/>
        <v>女</v>
      </c>
    </row>
    <row r="3039" spans="1:5" ht="30" customHeight="1">
      <c r="A3039" s="4">
        <v>3037</v>
      </c>
      <c r="B3039" s="4" t="str">
        <f>"39712022060209575683935"</f>
        <v>39712022060209575683935</v>
      </c>
      <c r="C3039" s="4" t="s">
        <v>28</v>
      </c>
      <c r="D3039" s="4" t="str">
        <f>"李秀花"</f>
        <v>李秀花</v>
      </c>
      <c r="E3039" s="4" t="str">
        <f t="shared" si="120"/>
        <v>女</v>
      </c>
    </row>
    <row r="3040" spans="1:5" ht="30" customHeight="1">
      <c r="A3040" s="4">
        <v>3038</v>
      </c>
      <c r="B3040" s="4" t="str">
        <f>"39712022060209590583940"</f>
        <v>39712022060209590583940</v>
      </c>
      <c r="C3040" s="4" t="s">
        <v>28</v>
      </c>
      <c r="D3040" s="4" t="str">
        <f>"肖咪"</f>
        <v>肖咪</v>
      </c>
      <c r="E3040" s="4" t="str">
        <f t="shared" si="120"/>
        <v>女</v>
      </c>
    </row>
    <row r="3041" spans="1:5" ht="30" customHeight="1">
      <c r="A3041" s="4">
        <v>3039</v>
      </c>
      <c r="B3041" s="4" t="str">
        <f>"39712022060210093984014"</f>
        <v>39712022060210093984014</v>
      </c>
      <c r="C3041" s="4" t="s">
        <v>28</v>
      </c>
      <c r="D3041" s="4" t="str">
        <f>"何一秋"</f>
        <v>何一秋</v>
      </c>
      <c r="E3041" s="4" t="str">
        <f t="shared" si="120"/>
        <v>女</v>
      </c>
    </row>
    <row r="3042" spans="1:5" ht="30" customHeight="1">
      <c r="A3042" s="4">
        <v>3040</v>
      </c>
      <c r="B3042" s="4" t="str">
        <f>"39712022060210110984023"</f>
        <v>39712022060210110984023</v>
      </c>
      <c r="C3042" s="4" t="s">
        <v>28</v>
      </c>
      <c r="D3042" s="4" t="str">
        <f>"符小翠"</f>
        <v>符小翠</v>
      </c>
      <c r="E3042" s="4" t="str">
        <f t="shared" si="120"/>
        <v>女</v>
      </c>
    </row>
    <row r="3043" spans="1:5" ht="30" customHeight="1">
      <c r="A3043" s="4">
        <v>3041</v>
      </c>
      <c r="B3043" s="4" t="str">
        <f>"39712022060210133284037"</f>
        <v>39712022060210133284037</v>
      </c>
      <c r="C3043" s="4" t="s">
        <v>28</v>
      </c>
      <c r="D3043" s="4" t="str">
        <f>"陈海虹"</f>
        <v>陈海虹</v>
      </c>
      <c r="E3043" s="4" t="str">
        <f t="shared" si="120"/>
        <v>女</v>
      </c>
    </row>
    <row r="3044" spans="1:5" ht="30" customHeight="1">
      <c r="A3044" s="4">
        <v>3042</v>
      </c>
      <c r="B3044" s="4" t="str">
        <f>"39712022060210140284046"</f>
        <v>39712022060210140284046</v>
      </c>
      <c r="C3044" s="4" t="s">
        <v>28</v>
      </c>
      <c r="D3044" s="4" t="str">
        <f>"李华成"</f>
        <v>李华成</v>
      </c>
      <c r="E3044" s="4" t="str">
        <f t="shared" si="120"/>
        <v>女</v>
      </c>
    </row>
    <row r="3045" spans="1:5" ht="30" customHeight="1">
      <c r="A3045" s="4">
        <v>3043</v>
      </c>
      <c r="B3045" s="4" t="str">
        <f>"39712022060210161284063"</f>
        <v>39712022060210161284063</v>
      </c>
      <c r="C3045" s="4" t="s">
        <v>28</v>
      </c>
      <c r="D3045" s="4" t="str">
        <f>"于佳卉"</f>
        <v>于佳卉</v>
      </c>
      <c r="E3045" s="4" t="str">
        <f t="shared" si="120"/>
        <v>女</v>
      </c>
    </row>
    <row r="3046" spans="1:5" ht="30" customHeight="1">
      <c r="A3046" s="4">
        <v>3044</v>
      </c>
      <c r="B3046" s="4" t="str">
        <f>"39712022060210165684070"</f>
        <v>39712022060210165684070</v>
      </c>
      <c r="C3046" s="4" t="s">
        <v>28</v>
      </c>
      <c r="D3046" s="4" t="str">
        <f>"陈赛苗"</f>
        <v>陈赛苗</v>
      </c>
      <c r="E3046" s="4" t="str">
        <f t="shared" si="120"/>
        <v>女</v>
      </c>
    </row>
    <row r="3047" spans="1:5" ht="30" customHeight="1">
      <c r="A3047" s="4">
        <v>3045</v>
      </c>
      <c r="B3047" s="4" t="str">
        <f>"39712022060210192084084"</f>
        <v>39712022060210192084084</v>
      </c>
      <c r="C3047" s="4" t="s">
        <v>28</v>
      </c>
      <c r="D3047" s="4" t="str">
        <f>"符岚紫"</f>
        <v>符岚紫</v>
      </c>
      <c r="E3047" s="4" t="str">
        <f t="shared" si="120"/>
        <v>女</v>
      </c>
    </row>
    <row r="3048" spans="1:5" ht="30" customHeight="1">
      <c r="A3048" s="4">
        <v>3046</v>
      </c>
      <c r="B3048" s="4" t="str">
        <f>"39712022060210203084100"</f>
        <v>39712022060210203084100</v>
      </c>
      <c r="C3048" s="4" t="s">
        <v>28</v>
      </c>
      <c r="D3048" s="4" t="str">
        <f>"任晶"</f>
        <v>任晶</v>
      </c>
      <c r="E3048" s="4" t="str">
        <f t="shared" si="120"/>
        <v>女</v>
      </c>
    </row>
    <row r="3049" spans="1:5" ht="30" customHeight="1">
      <c r="A3049" s="4">
        <v>3047</v>
      </c>
      <c r="B3049" s="4" t="str">
        <f>"39712022060210212684110"</f>
        <v>39712022060210212684110</v>
      </c>
      <c r="C3049" s="4" t="s">
        <v>28</v>
      </c>
      <c r="D3049" s="4" t="str">
        <f>"钟玟君"</f>
        <v>钟玟君</v>
      </c>
      <c r="E3049" s="4" t="str">
        <f t="shared" si="120"/>
        <v>女</v>
      </c>
    </row>
    <row r="3050" spans="1:5" ht="30" customHeight="1">
      <c r="A3050" s="4">
        <v>3048</v>
      </c>
      <c r="B3050" s="4" t="str">
        <f>"39712022060210231484124"</f>
        <v>39712022060210231484124</v>
      </c>
      <c r="C3050" s="4" t="s">
        <v>28</v>
      </c>
      <c r="D3050" s="4" t="str">
        <f>"段茜"</f>
        <v>段茜</v>
      </c>
      <c r="E3050" s="4" t="str">
        <f t="shared" si="120"/>
        <v>女</v>
      </c>
    </row>
    <row r="3051" spans="1:5" ht="30" customHeight="1">
      <c r="A3051" s="4">
        <v>3049</v>
      </c>
      <c r="B3051" s="4" t="str">
        <f>"39712022060210250684135"</f>
        <v>39712022060210250684135</v>
      </c>
      <c r="C3051" s="4" t="s">
        <v>28</v>
      </c>
      <c r="D3051" s="4" t="str">
        <f>"吴绍娟"</f>
        <v>吴绍娟</v>
      </c>
      <c r="E3051" s="4" t="str">
        <f t="shared" si="120"/>
        <v>女</v>
      </c>
    </row>
    <row r="3052" spans="1:5" ht="30" customHeight="1">
      <c r="A3052" s="4">
        <v>3050</v>
      </c>
      <c r="B3052" s="4" t="str">
        <f>"39712022060210260384140"</f>
        <v>39712022060210260384140</v>
      </c>
      <c r="C3052" s="4" t="s">
        <v>28</v>
      </c>
      <c r="D3052" s="4" t="str">
        <f>"吴宝梦"</f>
        <v>吴宝梦</v>
      </c>
      <c r="E3052" s="4" t="str">
        <f t="shared" si="120"/>
        <v>女</v>
      </c>
    </row>
    <row r="3053" spans="1:5" ht="30" customHeight="1">
      <c r="A3053" s="4">
        <v>3051</v>
      </c>
      <c r="B3053" s="4" t="str">
        <f>"39712022060210261084142"</f>
        <v>39712022060210261084142</v>
      </c>
      <c r="C3053" s="4" t="s">
        <v>28</v>
      </c>
      <c r="D3053" s="4" t="str">
        <f>"莫海燕"</f>
        <v>莫海燕</v>
      </c>
      <c r="E3053" s="4" t="str">
        <f t="shared" si="120"/>
        <v>女</v>
      </c>
    </row>
    <row r="3054" spans="1:5" ht="30" customHeight="1">
      <c r="A3054" s="4">
        <v>3052</v>
      </c>
      <c r="B3054" s="4" t="str">
        <f>"39712022060210261284143"</f>
        <v>39712022060210261284143</v>
      </c>
      <c r="C3054" s="4" t="s">
        <v>28</v>
      </c>
      <c r="D3054" s="4" t="str">
        <f>"陈良跃"</f>
        <v>陈良跃</v>
      </c>
      <c r="E3054" s="4" t="str">
        <f>"男"</f>
        <v>男</v>
      </c>
    </row>
    <row r="3055" spans="1:5" ht="30" customHeight="1">
      <c r="A3055" s="4">
        <v>3053</v>
      </c>
      <c r="B3055" s="4" t="str">
        <f>"39712022060210262784145"</f>
        <v>39712022060210262784145</v>
      </c>
      <c r="C3055" s="4" t="s">
        <v>28</v>
      </c>
      <c r="D3055" s="4" t="str">
        <f>"吴邦琳"</f>
        <v>吴邦琳</v>
      </c>
      <c r="E3055" s="4" t="str">
        <f aca="true" t="shared" si="121" ref="E3055:E3068">"女"</f>
        <v>女</v>
      </c>
    </row>
    <row r="3056" spans="1:5" ht="30" customHeight="1">
      <c r="A3056" s="4">
        <v>3054</v>
      </c>
      <c r="B3056" s="4" t="str">
        <f>"39712022060210263484147"</f>
        <v>39712022060210263484147</v>
      </c>
      <c r="C3056" s="4" t="s">
        <v>28</v>
      </c>
      <c r="D3056" s="4" t="str">
        <f>"李锦丽"</f>
        <v>李锦丽</v>
      </c>
      <c r="E3056" s="4" t="str">
        <f t="shared" si="121"/>
        <v>女</v>
      </c>
    </row>
    <row r="3057" spans="1:5" ht="30" customHeight="1">
      <c r="A3057" s="4">
        <v>3055</v>
      </c>
      <c r="B3057" s="4" t="str">
        <f>"39712022060210264084148"</f>
        <v>39712022060210264084148</v>
      </c>
      <c r="C3057" s="4" t="s">
        <v>28</v>
      </c>
      <c r="D3057" s="4" t="str">
        <f>"吴敏"</f>
        <v>吴敏</v>
      </c>
      <c r="E3057" s="4" t="str">
        <f t="shared" si="121"/>
        <v>女</v>
      </c>
    </row>
    <row r="3058" spans="1:5" ht="30" customHeight="1">
      <c r="A3058" s="4">
        <v>3056</v>
      </c>
      <c r="B3058" s="4" t="str">
        <f>"39712022060210300584178"</f>
        <v>39712022060210300584178</v>
      </c>
      <c r="C3058" s="4" t="s">
        <v>28</v>
      </c>
      <c r="D3058" s="4" t="str">
        <f>"王业林"</f>
        <v>王业林</v>
      </c>
      <c r="E3058" s="4" t="str">
        <f t="shared" si="121"/>
        <v>女</v>
      </c>
    </row>
    <row r="3059" spans="1:5" ht="30" customHeight="1">
      <c r="A3059" s="4">
        <v>3057</v>
      </c>
      <c r="B3059" s="4" t="str">
        <f>"39712022060210303384183"</f>
        <v>39712022060210303384183</v>
      </c>
      <c r="C3059" s="4" t="s">
        <v>28</v>
      </c>
      <c r="D3059" s="4" t="str">
        <f>"符方婷"</f>
        <v>符方婷</v>
      </c>
      <c r="E3059" s="4" t="str">
        <f t="shared" si="121"/>
        <v>女</v>
      </c>
    </row>
    <row r="3060" spans="1:5" ht="30" customHeight="1">
      <c r="A3060" s="4">
        <v>3058</v>
      </c>
      <c r="B3060" s="4" t="str">
        <f>"39712022060210304484187"</f>
        <v>39712022060210304484187</v>
      </c>
      <c r="C3060" s="4" t="s">
        <v>28</v>
      </c>
      <c r="D3060" s="4" t="str">
        <f>"范聪"</f>
        <v>范聪</v>
      </c>
      <c r="E3060" s="4" t="str">
        <f t="shared" si="121"/>
        <v>女</v>
      </c>
    </row>
    <row r="3061" spans="1:5" ht="30" customHeight="1">
      <c r="A3061" s="4">
        <v>3059</v>
      </c>
      <c r="B3061" s="4" t="str">
        <f>"39712022060210305184191"</f>
        <v>39712022060210305184191</v>
      </c>
      <c r="C3061" s="4" t="s">
        <v>28</v>
      </c>
      <c r="D3061" s="4" t="str">
        <f>"符家瑜"</f>
        <v>符家瑜</v>
      </c>
      <c r="E3061" s="4" t="str">
        <f t="shared" si="121"/>
        <v>女</v>
      </c>
    </row>
    <row r="3062" spans="1:5" ht="30" customHeight="1">
      <c r="A3062" s="4">
        <v>3060</v>
      </c>
      <c r="B3062" s="4" t="str">
        <f>"39712022060210333584211"</f>
        <v>39712022060210333584211</v>
      </c>
      <c r="C3062" s="4" t="s">
        <v>28</v>
      </c>
      <c r="D3062" s="4" t="str">
        <f>"符燕"</f>
        <v>符燕</v>
      </c>
      <c r="E3062" s="4" t="str">
        <f t="shared" si="121"/>
        <v>女</v>
      </c>
    </row>
    <row r="3063" spans="1:5" ht="30" customHeight="1">
      <c r="A3063" s="4">
        <v>3061</v>
      </c>
      <c r="B3063" s="4" t="str">
        <f>"39712022060210341384215"</f>
        <v>39712022060210341384215</v>
      </c>
      <c r="C3063" s="4" t="s">
        <v>28</v>
      </c>
      <c r="D3063" s="4" t="str">
        <f>"林华影"</f>
        <v>林华影</v>
      </c>
      <c r="E3063" s="4" t="str">
        <f t="shared" si="121"/>
        <v>女</v>
      </c>
    </row>
    <row r="3064" spans="1:5" ht="30" customHeight="1">
      <c r="A3064" s="4">
        <v>3062</v>
      </c>
      <c r="B3064" s="4" t="str">
        <f>"39712022060210383184240"</f>
        <v>39712022060210383184240</v>
      </c>
      <c r="C3064" s="4" t="s">
        <v>28</v>
      </c>
      <c r="D3064" s="4" t="str">
        <f>"王和欣"</f>
        <v>王和欣</v>
      </c>
      <c r="E3064" s="4" t="str">
        <f t="shared" si="121"/>
        <v>女</v>
      </c>
    </row>
    <row r="3065" spans="1:5" ht="30" customHeight="1">
      <c r="A3065" s="4">
        <v>3063</v>
      </c>
      <c r="B3065" s="4" t="str">
        <f>"39712022060210391184246"</f>
        <v>39712022060210391184246</v>
      </c>
      <c r="C3065" s="4" t="s">
        <v>28</v>
      </c>
      <c r="D3065" s="4" t="str">
        <f>"莫晓煦"</f>
        <v>莫晓煦</v>
      </c>
      <c r="E3065" s="4" t="str">
        <f t="shared" si="121"/>
        <v>女</v>
      </c>
    </row>
    <row r="3066" spans="1:5" ht="30" customHeight="1">
      <c r="A3066" s="4">
        <v>3064</v>
      </c>
      <c r="B3066" s="4" t="str">
        <f>"39712022060210395484253"</f>
        <v>39712022060210395484253</v>
      </c>
      <c r="C3066" s="4" t="s">
        <v>28</v>
      </c>
      <c r="D3066" s="4" t="str">
        <f>"王敏晶"</f>
        <v>王敏晶</v>
      </c>
      <c r="E3066" s="4" t="str">
        <f t="shared" si="121"/>
        <v>女</v>
      </c>
    </row>
    <row r="3067" spans="1:5" ht="30" customHeight="1">
      <c r="A3067" s="4">
        <v>3065</v>
      </c>
      <c r="B3067" s="4" t="str">
        <f>"39712022060210400484254"</f>
        <v>39712022060210400484254</v>
      </c>
      <c r="C3067" s="4" t="s">
        <v>28</v>
      </c>
      <c r="D3067" s="4" t="str">
        <f>"占文君"</f>
        <v>占文君</v>
      </c>
      <c r="E3067" s="4" t="str">
        <f t="shared" si="121"/>
        <v>女</v>
      </c>
    </row>
    <row r="3068" spans="1:5" ht="30" customHeight="1">
      <c r="A3068" s="4">
        <v>3066</v>
      </c>
      <c r="B3068" s="4" t="str">
        <f>"39712022060210400784255"</f>
        <v>39712022060210400784255</v>
      </c>
      <c r="C3068" s="4" t="s">
        <v>28</v>
      </c>
      <c r="D3068" s="4" t="str">
        <f>"符有妹"</f>
        <v>符有妹</v>
      </c>
      <c r="E3068" s="4" t="str">
        <f t="shared" si="121"/>
        <v>女</v>
      </c>
    </row>
    <row r="3069" spans="1:5" ht="30" customHeight="1">
      <c r="A3069" s="4">
        <v>3067</v>
      </c>
      <c r="B3069" s="4" t="str">
        <f>"39712022060210421284264"</f>
        <v>39712022060210421284264</v>
      </c>
      <c r="C3069" s="4" t="s">
        <v>28</v>
      </c>
      <c r="D3069" s="4" t="str">
        <f>"周诗贤"</f>
        <v>周诗贤</v>
      </c>
      <c r="E3069" s="4" t="str">
        <f>"男"</f>
        <v>男</v>
      </c>
    </row>
    <row r="3070" spans="1:5" ht="30" customHeight="1">
      <c r="A3070" s="4">
        <v>3068</v>
      </c>
      <c r="B3070" s="4" t="str">
        <f>"39712022060210424084269"</f>
        <v>39712022060210424084269</v>
      </c>
      <c r="C3070" s="4" t="s">
        <v>28</v>
      </c>
      <c r="D3070" s="4" t="str">
        <f>"谢美玉"</f>
        <v>谢美玉</v>
      </c>
      <c r="E3070" s="4" t="str">
        <f>"女"</f>
        <v>女</v>
      </c>
    </row>
    <row r="3071" spans="1:5" ht="30" customHeight="1">
      <c r="A3071" s="4">
        <v>3069</v>
      </c>
      <c r="B3071" s="4" t="str">
        <f>"39712022060210430784272"</f>
        <v>39712022060210430784272</v>
      </c>
      <c r="C3071" s="4" t="s">
        <v>28</v>
      </c>
      <c r="D3071" s="4" t="str">
        <f>"文梅燕"</f>
        <v>文梅燕</v>
      </c>
      <c r="E3071" s="4" t="str">
        <f>"女"</f>
        <v>女</v>
      </c>
    </row>
    <row r="3072" spans="1:5" ht="30" customHeight="1">
      <c r="A3072" s="4">
        <v>3070</v>
      </c>
      <c r="B3072" s="4" t="str">
        <f>"39712022060210430984275"</f>
        <v>39712022060210430984275</v>
      </c>
      <c r="C3072" s="4" t="s">
        <v>28</v>
      </c>
      <c r="D3072" s="4" t="str">
        <f>"文小丽"</f>
        <v>文小丽</v>
      </c>
      <c r="E3072" s="4" t="str">
        <f>"女"</f>
        <v>女</v>
      </c>
    </row>
    <row r="3073" spans="1:5" ht="30" customHeight="1">
      <c r="A3073" s="4">
        <v>3071</v>
      </c>
      <c r="B3073" s="4" t="str">
        <f>"39712022060210484184311"</f>
        <v>39712022060210484184311</v>
      </c>
      <c r="C3073" s="4" t="s">
        <v>28</v>
      </c>
      <c r="D3073" s="4" t="str">
        <f>"冯宣华"</f>
        <v>冯宣华</v>
      </c>
      <c r="E3073" s="4" t="str">
        <f>"男"</f>
        <v>男</v>
      </c>
    </row>
    <row r="3074" spans="1:5" ht="30" customHeight="1">
      <c r="A3074" s="4">
        <v>3072</v>
      </c>
      <c r="B3074" s="4" t="str">
        <f>"39712022060210490784317"</f>
        <v>39712022060210490784317</v>
      </c>
      <c r="C3074" s="4" t="s">
        <v>28</v>
      </c>
      <c r="D3074" s="4" t="str">
        <f>"孙舒琪"</f>
        <v>孙舒琪</v>
      </c>
      <c r="E3074" s="4" t="str">
        <f aca="true" t="shared" si="122" ref="E3074:E3100">"女"</f>
        <v>女</v>
      </c>
    </row>
    <row r="3075" spans="1:5" ht="30" customHeight="1">
      <c r="A3075" s="4">
        <v>3073</v>
      </c>
      <c r="B3075" s="4" t="str">
        <f>"39712022060210512684339"</f>
        <v>39712022060210512684339</v>
      </c>
      <c r="C3075" s="4" t="s">
        <v>28</v>
      </c>
      <c r="D3075" s="4" t="str">
        <f>"许先娇"</f>
        <v>许先娇</v>
      </c>
      <c r="E3075" s="4" t="str">
        <f t="shared" si="122"/>
        <v>女</v>
      </c>
    </row>
    <row r="3076" spans="1:5" ht="30" customHeight="1">
      <c r="A3076" s="4">
        <v>3074</v>
      </c>
      <c r="B3076" s="4" t="str">
        <f>"39712022060210522884348"</f>
        <v>39712022060210522884348</v>
      </c>
      <c r="C3076" s="4" t="s">
        <v>28</v>
      </c>
      <c r="D3076" s="4" t="str">
        <f>"王思仪"</f>
        <v>王思仪</v>
      </c>
      <c r="E3076" s="4" t="str">
        <f t="shared" si="122"/>
        <v>女</v>
      </c>
    </row>
    <row r="3077" spans="1:5" ht="30" customHeight="1">
      <c r="A3077" s="4">
        <v>3075</v>
      </c>
      <c r="B3077" s="4" t="str">
        <f>"39712022060210560284373"</f>
        <v>39712022060210560284373</v>
      </c>
      <c r="C3077" s="4" t="s">
        <v>28</v>
      </c>
      <c r="D3077" s="4" t="str">
        <f>"李亮"</f>
        <v>李亮</v>
      </c>
      <c r="E3077" s="4" t="str">
        <f t="shared" si="122"/>
        <v>女</v>
      </c>
    </row>
    <row r="3078" spans="1:5" ht="30" customHeight="1">
      <c r="A3078" s="4">
        <v>3076</v>
      </c>
      <c r="B3078" s="4" t="str">
        <f>"39712022060210562084375"</f>
        <v>39712022060210562084375</v>
      </c>
      <c r="C3078" s="4" t="s">
        <v>28</v>
      </c>
      <c r="D3078" s="4" t="str">
        <f>"唐瑜"</f>
        <v>唐瑜</v>
      </c>
      <c r="E3078" s="4" t="str">
        <f t="shared" si="122"/>
        <v>女</v>
      </c>
    </row>
    <row r="3079" spans="1:5" ht="30" customHeight="1">
      <c r="A3079" s="4">
        <v>3077</v>
      </c>
      <c r="B3079" s="4" t="str">
        <f>"39712022060210581384389"</f>
        <v>39712022060210581384389</v>
      </c>
      <c r="C3079" s="4" t="s">
        <v>28</v>
      </c>
      <c r="D3079" s="4" t="str">
        <f>"何靖"</f>
        <v>何靖</v>
      </c>
      <c r="E3079" s="4" t="str">
        <f t="shared" si="122"/>
        <v>女</v>
      </c>
    </row>
    <row r="3080" spans="1:5" ht="30" customHeight="1">
      <c r="A3080" s="4">
        <v>3078</v>
      </c>
      <c r="B3080" s="4" t="str">
        <f>"39712022060210585584394"</f>
        <v>39712022060210585584394</v>
      </c>
      <c r="C3080" s="4" t="s">
        <v>28</v>
      </c>
      <c r="D3080" s="4" t="str">
        <f>"莫欣欣"</f>
        <v>莫欣欣</v>
      </c>
      <c r="E3080" s="4" t="str">
        <f t="shared" si="122"/>
        <v>女</v>
      </c>
    </row>
    <row r="3081" spans="1:5" ht="30" customHeight="1">
      <c r="A3081" s="4">
        <v>3079</v>
      </c>
      <c r="B3081" s="4" t="str">
        <f>"39712022060211000084399"</f>
        <v>39712022060211000084399</v>
      </c>
      <c r="C3081" s="4" t="s">
        <v>28</v>
      </c>
      <c r="D3081" s="4" t="str">
        <f>"刘秋圆"</f>
        <v>刘秋圆</v>
      </c>
      <c r="E3081" s="4" t="str">
        <f t="shared" si="122"/>
        <v>女</v>
      </c>
    </row>
    <row r="3082" spans="1:5" ht="30" customHeight="1">
      <c r="A3082" s="4">
        <v>3080</v>
      </c>
      <c r="B3082" s="4" t="str">
        <f>"39712022060211073584454"</f>
        <v>39712022060211073584454</v>
      </c>
      <c r="C3082" s="4" t="s">
        <v>28</v>
      </c>
      <c r="D3082" s="4" t="str">
        <f>"叶木青"</f>
        <v>叶木青</v>
      </c>
      <c r="E3082" s="4" t="str">
        <f t="shared" si="122"/>
        <v>女</v>
      </c>
    </row>
    <row r="3083" spans="1:5" ht="30" customHeight="1">
      <c r="A3083" s="4">
        <v>3081</v>
      </c>
      <c r="B3083" s="4" t="str">
        <f>"39712022060211074284455"</f>
        <v>39712022060211074284455</v>
      </c>
      <c r="C3083" s="4" t="s">
        <v>28</v>
      </c>
      <c r="D3083" s="4" t="str">
        <f>"孙小玉"</f>
        <v>孙小玉</v>
      </c>
      <c r="E3083" s="4" t="str">
        <f t="shared" si="122"/>
        <v>女</v>
      </c>
    </row>
    <row r="3084" spans="1:5" ht="30" customHeight="1">
      <c r="A3084" s="4">
        <v>3082</v>
      </c>
      <c r="B3084" s="4" t="str">
        <f>"39712022060211082184461"</f>
        <v>39712022060211082184461</v>
      </c>
      <c r="C3084" s="4" t="s">
        <v>28</v>
      </c>
      <c r="D3084" s="4" t="str">
        <f>"王婉媛"</f>
        <v>王婉媛</v>
      </c>
      <c r="E3084" s="4" t="str">
        <f t="shared" si="122"/>
        <v>女</v>
      </c>
    </row>
    <row r="3085" spans="1:5" ht="30" customHeight="1">
      <c r="A3085" s="4">
        <v>3083</v>
      </c>
      <c r="B3085" s="4" t="str">
        <f>"39712022060211090084468"</f>
        <v>39712022060211090084468</v>
      </c>
      <c r="C3085" s="4" t="s">
        <v>28</v>
      </c>
      <c r="D3085" s="4" t="str">
        <f>"王艺淇"</f>
        <v>王艺淇</v>
      </c>
      <c r="E3085" s="4" t="str">
        <f t="shared" si="122"/>
        <v>女</v>
      </c>
    </row>
    <row r="3086" spans="1:5" ht="30" customHeight="1">
      <c r="A3086" s="4">
        <v>3084</v>
      </c>
      <c r="B3086" s="4" t="str">
        <f>"39712022060211102184475"</f>
        <v>39712022060211102184475</v>
      </c>
      <c r="C3086" s="4" t="s">
        <v>28</v>
      </c>
      <c r="D3086" s="4" t="str">
        <f>"沈玲方"</f>
        <v>沈玲方</v>
      </c>
      <c r="E3086" s="4" t="str">
        <f t="shared" si="122"/>
        <v>女</v>
      </c>
    </row>
    <row r="3087" spans="1:5" ht="30" customHeight="1">
      <c r="A3087" s="4">
        <v>3085</v>
      </c>
      <c r="B3087" s="4" t="str">
        <f>"39712022060211102284476"</f>
        <v>39712022060211102284476</v>
      </c>
      <c r="C3087" s="4" t="s">
        <v>28</v>
      </c>
      <c r="D3087" s="4" t="str">
        <f>"刘莹"</f>
        <v>刘莹</v>
      </c>
      <c r="E3087" s="4" t="str">
        <f t="shared" si="122"/>
        <v>女</v>
      </c>
    </row>
    <row r="3088" spans="1:5" ht="30" customHeight="1">
      <c r="A3088" s="4">
        <v>3086</v>
      </c>
      <c r="B3088" s="4" t="str">
        <f>"39712022060211122684489"</f>
        <v>39712022060211122684489</v>
      </c>
      <c r="C3088" s="4" t="s">
        <v>28</v>
      </c>
      <c r="D3088" s="4" t="str">
        <f>"李丽洁"</f>
        <v>李丽洁</v>
      </c>
      <c r="E3088" s="4" t="str">
        <f t="shared" si="122"/>
        <v>女</v>
      </c>
    </row>
    <row r="3089" spans="1:5" ht="30" customHeight="1">
      <c r="A3089" s="4">
        <v>3087</v>
      </c>
      <c r="B3089" s="4" t="str">
        <f>"39712022060211123684492"</f>
        <v>39712022060211123684492</v>
      </c>
      <c r="C3089" s="4" t="s">
        <v>28</v>
      </c>
      <c r="D3089" s="4" t="str">
        <f>"邓小红"</f>
        <v>邓小红</v>
      </c>
      <c r="E3089" s="4" t="str">
        <f t="shared" si="122"/>
        <v>女</v>
      </c>
    </row>
    <row r="3090" spans="1:5" ht="30" customHeight="1">
      <c r="A3090" s="4">
        <v>3088</v>
      </c>
      <c r="B3090" s="4" t="str">
        <f>"39712022060211130284494"</f>
        <v>39712022060211130284494</v>
      </c>
      <c r="C3090" s="4" t="s">
        <v>28</v>
      </c>
      <c r="D3090" s="4" t="str">
        <f>"李晓雪"</f>
        <v>李晓雪</v>
      </c>
      <c r="E3090" s="4" t="str">
        <f t="shared" si="122"/>
        <v>女</v>
      </c>
    </row>
    <row r="3091" spans="1:5" ht="30" customHeight="1">
      <c r="A3091" s="4">
        <v>3089</v>
      </c>
      <c r="B3091" s="4" t="str">
        <f>"39712022060211144184504"</f>
        <v>39712022060211144184504</v>
      </c>
      <c r="C3091" s="4" t="s">
        <v>28</v>
      </c>
      <c r="D3091" s="4" t="str">
        <f>"邢高雅"</f>
        <v>邢高雅</v>
      </c>
      <c r="E3091" s="4" t="str">
        <f t="shared" si="122"/>
        <v>女</v>
      </c>
    </row>
    <row r="3092" spans="1:5" ht="30" customHeight="1">
      <c r="A3092" s="4">
        <v>3090</v>
      </c>
      <c r="B3092" s="4" t="str">
        <f>"39712022060211163784523"</f>
        <v>39712022060211163784523</v>
      </c>
      <c r="C3092" s="4" t="s">
        <v>28</v>
      </c>
      <c r="D3092" s="4" t="str">
        <f>"邓来姑"</f>
        <v>邓来姑</v>
      </c>
      <c r="E3092" s="4" t="str">
        <f t="shared" si="122"/>
        <v>女</v>
      </c>
    </row>
    <row r="3093" spans="1:5" ht="30" customHeight="1">
      <c r="A3093" s="4">
        <v>3091</v>
      </c>
      <c r="B3093" s="4" t="str">
        <f>"39712022060211170784526"</f>
        <v>39712022060211170784526</v>
      </c>
      <c r="C3093" s="4" t="s">
        <v>28</v>
      </c>
      <c r="D3093" s="4" t="str">
        <f>"王芳"</f>
        <v>王芳</v>
      </c>
      <c r="E3093" s="4" t="str">
        <f t="shared" si="122"/>
        <v>女</v>
      </c>
    </row>
    <row r="3094" spans="1:5" ht="30" customHeight="1">
      <c r="A3094" s="4">
        <v>3092</v>
      </c>
      <c r="B3094" s="4" t="str">
        <f>"39712022060211190084540"</f>
        <v>39712022060211190084540</v>
      </c>
      <c r="C3094" s="4" t="s">
        <v>28</v>
      </c>
      <c r="D3094" s="4" t="str">
        <f>"符荣荣"</f>
        <v>符荣荣</v>
      </c>
      <c r="E3094" s="4" t="str">
        <f t="shared" si="122"/>
        <v>女</v>
      </c>
    </row>
    <row r="3095" spans="1:5" ht="30" customHeight="1">
      <c r="A3095" s="4">
        <v>3093</v>
      </c>
      <c r="B3095" s="4" t="str">
        <f>"39712022060211191684543"</f>
        <v>39712022060211191684543</v>
      </c>
      <c r="C3095" s="4" t="s">
        <v>28</v>
      </c>
      <c r="D3095" s="4" t="str">
        <f>"肖笛呐"</f>
        <v>肖笛呐</v>
      </c>
      <c r="E3095" s="4" t="str">
        <f t="shared" si="122"/>
        <v>女</v>
      </c>
    </row>
    <row r="3096" spans="1:5" ht="30" customHeight="1">
      <c r="A3096" s="4">
        <v>3094</v>
      </c>
      <c r="B3096" s="4" t="str">
        <f>"39712022060211261584583"</f>
        <v>39712022060211261584583</v>
      </c>
      <c r="C3096" s="4" t="s">
        <v>28</v>
      </c>
      <c r="D3096" s="4" t="str">
        <f>"余卓林"</f>
        <v>余卓林</v>
      </c>
      <c r="E3096" s="4" t="str">
        <f t="shared" si="122"/>
        <v>女</v>
      </c>
    </row>
    <row r="3097" spans="1:5" ht="30" customHeight="1">
      <c r="A3097" s="4">
        <v>3095</v>
      </c>
      <c r="B3097" s="4" t="str">
        <f>"39712022060211273184588"</f>
        <v>39712022060211273184588</v>
      </c>
      <c r="C3097" s="4" t="s">
        <v>28</v>
      </c>
      <c r="D3097" s="4" t="str">
        <f>"林蕊"</f>
        <v>林蕊</v>
      </c>
      <c r="E3097" s="4" t="str">
        <f t="shared" si="122"/>
        <v>女</v>
      </c>
    </row>
    <row r="3098" spans="1:5" ht="30" customHeight="1">
      <c r="A3098" s="4">
        <v>3096</v>
      </c>
      <c r="B3098" s="4" t="str">
        <f>"39712022060211273184589"</f>
        <v>39712022060211273184589</v>
      </c>
      <c r="C3098" s="4" t="s">
        <v>28</v>
      </c>
      <c r="D3098" s="4" t="str">
        <f>"曾晓莉"</f>
        <v>曾晓莉</v>
      </c>
      <c r="E3098" s="4" t="str">
        <f t="shared" si="122"/>
        <v>女</v>
      </c>
    </row>
    <row r="3099" spans="1:5" ht="30" customHeight="1">
      <c r="A3099" s="4">
        <v>3097</v>
      </c>
      <c r="B3099" s="4" t="str">
        <f>"39712022060211274784592"</f>
        <v>39712022060211274784592</v>
      </c>
      <c r="C3099" s="4" t="s">
        <v>28</v>
      </c>
      <c r="D3099" s="4" t="str">
        <f>"符欢欢"</f>
        <v>符欢欢</v>
      </c>
      <c r="E3099" s="4" t="str">
        <f t="shared" si="122"/>
        <v>女</v>
      </c>
    </row>
    <row r="3100" spans="1:5" ht="30" customHeight="1">
      <c r="A3100" s="4">
        <v>3098</v>
      </c>
      <c r="B3100" s="4" t="str">
        <f>"39712022060211302284612"</f>
        <v>39712022060211302284612</v>
      </c>
      <c r="C3100" s="4" t="s">
        <v>28</v>
      </c>
      <c r="D3100" s="4" t="str">
        <f>"陈运妹"</f>
        <v>陈运妹</v>
      </c>
      <c r="E3100" s="4" t="str">
        <f t="shared" si="122"/>
        <v>女</v>
      </c>
    </row>
    <row r="3101" spans="1:5" ht="30" customHeight="1">
      <c r="A3101" s="4">
        <v>3099</v>
      </c>
      <c r="B3101" s="4" t="str">
        <f>"39712022060211310784615"</f>
        <v>39712022060211310784615</v>
      </c>
      <c r="C3101" s="4" t="s">
        <v>28</v>
      </c>
      <c r="D3101" s="4" t="str">
        <f>"王柏智"</f>
        <v>王柏智</v>
      </c>
      <c r="E3101" s="4" t="str">
        <f>"男"</f>
        <v>男</v>
      </c>
    </row>
    <row r="3102" spans="1:5" ht="30" customHeight="1">
      <c r="A3102" s="4">
        <v>3100</v>
      </c>
      <c r="B3102" s="4" t="str">
        <f>"39712022060211313984619"</f>
        <v>39712022060211313984619</v>
      </c>
      <c r="C3102" s="4" t="s">
        <v>28</v>
      </c>
      <c r="D3102" s="4" t="str">
        <f>"肖郁葱"</f>
        <v>肖郁葱</v>
      </c>
      <c r="E3102" s="4" t="str">
        <f aca="true" t="shared" si="123" ref="E3102:E3123">"女"</f>
        <v>女</v>
      </c>
    </row>
    <row r="3103" spans="1:5" ht="30" customHeight="1">
      <c r="A3103" s="4">
        <v>3101</v>
      </c>
      <c r="B3103" s="4" t="str">
        <f>"39712022060211353484633"</f>
        <v>39712022060211353484633</v>
      </c>
      <c r="C3103" s="4" t="s">
        <v>28</v>
      </c>
      <c r="D3103" s="4" t="str">
        <f>"黄丽雅"</f>
        <v>黄丽雅</v>
      </c>
      <c r="E3103" s="4" t="str">
        <f t="shared" si="123"/>
        <v>女</v>
      </c>
    </row>
    <row r="3104" spans="1:5" ht="30" customHeight="1">
      <c r="A3104" s="4">
        <v>3102</v>
      </c>
      <c r="B3104" s="4" t="str">
        <f>"39712022060211372084649"</f>
        <v>39712022060211372084649</v>
      </c>
      <c r="C3104" s="4" t="s">
        <v>28</v>
      </c>
      <c r="D3104" s="4" t="str">
        <f>"蔡兰"</f>
        <v>蔡兰</v>
      </c>
      <c r="E3104" s="4" t="str">
        <f t="shared" si="123"/>
        <v>女</v>
      </c>
    </row>
    <row r="3105" spans="1:5" ht="30" customHeight="1">
      <c r="A3105" s="4">
        <v>3103</v>
      </c>
      <c r="B3105" s="4" t="str">
        <f>"39712022060211430484683"</f>
        <v>39712022060211430484683</v>
      </c>
      <c r="C3105" s="4" t="s">
        <v>28</v>
      </c>
      <c r="D3105" s="4" t="str">
        <f>"何尾月"</f>
        <v>何尾月</v>
      </c>
      <c r="E3105" s="4" t="str">
        <f t="shared" si="123"/>
        <v>女</v>
      </c>
    </row>
    <row r="3106" spans="1:5" ht="30" customHeight="1">
      <c r="A3106" s="4">
        <v>3104</v>
      </c>
      <c r="B3106" s="4" t="str">
        <f>"39712022060211451784698"</f>
        <v>39712022060211451784698</v>
      </c>
      <c r="C3106" s="4" t="s">
        <v>28</v>
      </c>
      <c r="D3106" s="4" t="str">
        <f>"陈火琳"</f>
        <v>陈火琳</v>
      </c>
      <c r="E3106" s="4" t="str">
        <f t="shared" si="123"/>
        <v>女</v>
      </c>
    </row>
    <row r="3107" spans="1:5" ht="30" customHeight="1">
      <c r="A3107" s="4">
        <v>3105</v>
      </c>
      <c r="B3107" s="4" t="str">
        <f>"39712022060211494584716"</f>
        <v>39712022060211494584716</v>
      </c>
      <c r="C3107" s="4" t="s">
        <v>28</v>
      </c>
      <c r="D3107" s="4" t="str">
        <f>"吴初交"</f>
        <v>吴初交</v>
      </c>
      <c r="E3107" s="4" t="str">
        <f t="shared" si="123"/>
        <v>女</v>
      </c>
    </row>
    <row r="3108" spans="1:5" ht="30" customHeight="1">
      <c r="A3108" s="4">
        <v>3106</v>
      </c>
      <c r="B3108" s="4" t="str">
        <f>"39712022060211512084723"</f>
        <v>39712022060211512084723</v>
      </c>
      <c r="C3108" s="4" t="s">
        <v>28</v>
      </c>
      <c r="D3108" s="4" t="str">
        <f>"李婷婷"</f>
        <v>李婷婷</v>
      </c>
      <c r="E3108" s="4" t="str">
        <f t="shared" si="123"/>
        <v>女</v>
      </c>
    </row>
    <row r="3109" spans="1:5" ht="30" customHeight="1">
      <c r="A3109" s="4">
        <v>3107</v>
      </c>
      <c r="B3109" s="4" t="str">
        <f>"39712022060211515884729"</f>
        <v>39712022060211515884729</v>
      </c>
      <c r="C3109" s="4" t="s">
        <v>28</v>
      </c>
      <c r="D3109" s="4" t="str">
        <f>"刘雪娜"</f>
        <v>刘雪娜</v>
      </c>
      <c r="E3109" s="4" t="str">
        <f t="shared" si="123"/>
        <v>女</v>
      </c>
    </row>
    <row r="3110" spans="1:5" ht="30" customHeight="1">
      <c r="A3110" s="4">
        <v>3108</v>
      </c>
      <c r="B3110" s="4" t="str">
        <f>"39712022060211540984740"</f>
        <v>39712022060211540984740</v>
      </c>
      <c r="C3110" s="4" t="s">
        <v>28</v>
      </c>
      <c r="D3110" s="4" t="str">
        <f>"李喜姣"</f>
        <v>李喜姣</v>
      </c>
      <c r="E3110" s="4" t="str">
        <f t="shared" si="123"/>
        <v>女</v>
      </c>
    </row>
    <row r="3111" spans="1:5" ht="30" customHeight="1">
      <c r="A3111" s="4">
        <v>3109</v>
      </c>
      <c r="B3111" s="4" t="str">
        <f>"39712022060211553784745"</f>
        <v>39712022060211553784745</v>
      </c>
      <c r="C3111" s="4" t="s">
        <v>28</v>
      </c>
      <c r="D3111" s="4" t="str">
        <f>"王捷"</f>
        <v>王捷</v>
      </c>
      <c r="E3111" s="4" t="str">
        <f t="shared" si="123"/>
        <v>女</v>
      </c>
    </row>
    <row r="3112" spans="1:5" ht="30" customHeight="1">
      <c r="A3112" s="4">
        <v>3110</v>
      </c>
      <c r="B3112" s="4" t="str">
        <f>"39712022060211592884758"</f>
        <v>39712022060211592884758</v>
      </c>
      <c r="C3112" s="4" t="s">
        <v>28</v>
      </c>
      <c r="D3112" s="4" t="str">
        <f>"余悦"</f>
        <v>余悦</v>
      </c>
      <c r="E3112" s="4" t="str">
        <f t="shared" si="123"/>
        <v>女</v>
      </c>
    </row>
    <row r="3113" spans="1:5" ht="30" customHeight="1">
      <c r="A3113" s="4">
        <v>3111</v>
      </c>
      <c r="B3113" s="4" t="str">
        <f>"39712022060212045284786"</f>
        <v>39712022060212045284786</v>
      </c>
      <c r="C3113" s="4" t="s">
        <v>28</v>
      </c>
      <c r="D3113" s="4" t="str">
        <f>"王延"</f>
        <v>王延</v>
      </c>
      <c r="E3113" s="4" t="str">
        <f t="shared" si="123"/>
        <v>女</v>
      </c>
    </row>
    <row r="3114" spans="1:5" ht="30" customHeight="1">
      <c r="A3114" s="4">
        <v>3112</v>
      </c>
      <c r="B3114" s="4" t="str">
        <f>"39712022060212085984813"</f>
        <v>39712022060212085984813</v>
      </c>
      <c r="C3114" s="4" t="s">
        <v>28</v>
      </c>
      <c r="D3114" s="4" t="str">
        <f>"云杏芳"</f>
        <v>云杏芳</v>
      </c>
      <c r="E3114" s="4" t="str">
        <f t="shared" si="123"/>
        <v>女</v>
      </c>
    </row>
    <row r="3115" spans="1:5" ht="30" customHeight="1">
      <c r="A3115" s="4">
        <v>3113</v>
      </c>
      <c r="B3115" s="4" t="str">
        <f>"39712022060212095484819"</f>
        <v>39712022060212095484819</v>
      </c>
      <c r="C3115" s="4" t="s">
        <v>28</v>
      </c>
      <c r="D3115" s="4" t="str">
        <f>"吉训春"</f>
        <v>吉训春</v>
      </c>
      <c r="E3115" s="4" t="str">
        <f t="shared" si="123"/>
        <v>女</v>
      </c>
    </row>
    <row r="3116" spans="1:5" ht="30" customHeight="1">
      <c r="A3116" s="4">
        <v>3114</v>
      </c>
      <c r="B3116" s="4" t="str">
        <f>"39712022060212113384833"</f>
        <v>39712022060212113384833</v>
      </c>
      <c r="C3116" s="4" t="s">
        <v>28</v>
      </c>
      <c r="D3116" s="4" t="str">
        <f>"宋鸿艳"</f>
        <v>宋鸿艳</v>
      </c>
      <c r="E3116" s="4" t="str">
        <f t="shared" si="123"/>
        <v>女</v>
      </c>
    </row>
    <row r="3117" spans="1:5" ht="30" customHeight="1">
      <c r="A3117" s="4">
        <v>3115</v>
      </c>
      <c r="B3117" s="4" t="str">
        <f>"39712022060212142684849"</f>
        <v>39712022060212142684849</v>
      </c>
      <c r="C3117" s="4" t="s">
        <v>28</v>
      </c>
      <c r="D3117" s="4" t="str">
        <f>"黄春"</f>
        <v>黄春</v>
      </c>
      <c r="E3117" s="4" t="str">
        <f t="shared" si="123"/>
        <v>女</v>
      </c>
    </row>
    <row r="3118" spans="1:5" ht="30" customHeight="1">
      <c r="A3118" s="4">
        <v>3116</v>
      </c>
      <c r="B3118" s="4" t="str">
        <f>"39712022060212172284865"</f>
        <v>39712022060212172284865</v>
      </c>
      <c r="C3118" s="4" t="s">
        <v>28</v>
      </c>
      <c r="D3118" s="4" t="str">
        <f>"布蕾"</f>
        <v>布蕾</v>
      </c>
      <c r="E3118" s="4" t="str">
        <f t="shared" si="123"/>
        <v>女</v>
      </c>
    </row>
    <row r="3119" spans="1:5" ht="30" customHeight="1">
      <c r="A3119" s="4">
        <v>3117</v>
      </c>
      <c r="B3119" s="4" t="str">
        <f>"39712022060212182284873"</f>
        <v>39712022060212182284873</v>
      </c>
      <c r="C3119" s="4" t="s">
        <v>28</v>
      </c>
      <c r="D3119" s="4" t="str">
        <f>"陈思雨"</f>
        <v>陈思雨</v>
      </c>
      <c r="E3119" s="4" t="str">
        <f t="shared" si="123"/>
        <v>女</v>
      </c>
    </row>
    <row r="3120" spans="1:5" ht="30" customHeight="1">
      <c r="A3120" s="4">
        <v>3118</v>
      </c>
      <c r="B3120" s="4" t="str">
        <f>"39712022060212184184876"</f>
        <v>39712022060212184184876</v>
      </c>
      <c r="C3120" s="4" t="s">
        <v>28</v>
      </c>
      <c r="D3120" s="4" t="str">
        <f>"陈春芳"</f>
        <v>陈春芳</v>
      </c>
      <c r="E3120" s="4" t="str">
        <f t="shared" si="123"/>
        <v>女</v>
      </c>
    </row>
    <row r="3121" spans="1:5" ht="30" customHeight="1">
      <c r="A3121" s="4">
        <v>3119</v>
      </c>
      <c r="B3121" s="4" t="str">
        <f>"39712022060212233884901"</f>
        <v>39712022060212233884901</v>
      </c>
      <c r="C3121" s="4" t="s">
        <v>28</v>
      </c>
      <c r="D3121" s="4" t="str">
        <f>"张益梅"</f>
        <v>张益梅</v>
      </c>
      <c r="E3121" s="4" t="str">
        <f t="shared" si="123"/>
        <v>女</v>
      </c>
    </row>
    <row r="3122" spans="1:5" ht="30" customHeight="1">
      <c r="A3122" s="4">
        <v>3120</v>
      </c>
      <c r="B3122" s="4" t="str">
        <f>"39712022060212240584903"</f>
        <v>39712022060212240584903</v>
      </c>
      <c r="C3122" s="4" t="s">
        <v>28</v>
      </c>
      <c r="D3122" s="4" t="str">
        <f>"何旺灵"</f>
        <v>何旺灵</v>
      </c>
      <c r="E3122" s="4" t="str">
        <f t="shared" si="123"/>
        <v>女</v>
      </c>
    </row>
    <row r="3123" spans="1:5" ht="30" customHeight="1">
      <c r="A3123" s="4">
        <v>3121</v>
      </c>
      <c r="B3123" s="4" t="str">
        <f>"39712022060212243884907"</f>
        <v>39712022060212243884907</v>
      </c>
      <c r="C3123" s="4" t="s">
        <v>28</v>
      </c>
      <c r="D3123" s="4" t="str">
        <f>"陈尼"</f>
        <v>陈尼</v>
      </c>
      <c r="E3123" s="4" t="str">
        <f t="shared" si="123"/>
        <v>女</v>
      </c>
    </row>
    <row r="3124" spans="1:5" ht="30" customHeight="1">
      <c r="A3124" s="4">
        <v>3122</v>
      </c>
      <c r="B3124" s="4" t="str">
        <f>"39712022060212254484912"</f>
        <v>39712022060212254484912</v>
      </c>
      <c r="C3124" s="4" t="s">
        <v>28</v>
      </c>
      <c r="D3124" s="4" t="str">
        <f>"彭康"</f>
        <v>彭康</v>
      </c>
      <c r="E3124" s="4" t="str">
        <f>"男"</f>
        <v>男</v>
      </c>
    </row>
    <row r="3125" spans="1:5" ht="30" customHeight="1">
      <c r="A3125" s="4">
        <v>3123</v>
      </c>
      <c r="B3125" s="4" t="str">
        <f>"39712022060212294484930"</f>
        <v>39712022060212294484930</v>
      </c>
      <c r="C3125" s="4" t="s">
        <v>28</v>
      </c>
      <c r="D3125" s="4" t="str">
        <f>"陈星"</f>
        <v>陈星</v>
      </c>
      <c r="E3125" s="4" t="str">
        <f aca="true" t="shared" si="124" ref="E3125:E3188">"女"</f>
        <v>女</v>
      </c>
    </row>
    <row r="3126" spans="1:5" ht="30" customHeight="1">
      <c r="A3126" s="4">
        <v>3124</v>
      </c>
      <c r="B3126" s="4" t="str">
        <f>"39712022060212300184934"</f>
        <v>39712022060212300184934</v>
      </c>
      <c r="C3126" s="4" t="s">
        <v>28</v>
      </c>
      <c r="D3126" s="4" t="str">
        <f>"王佳仪"</f>
        <v>王佳仪</v>
      </c>
      <c r="E3126" s="4" t="str">
        <f t="shared" si="124"/>
        <v>女</v>
      </c>
    </row>
    <row r="3127" spans="1:5" ht="30" customHeight="1">
      <c r="A3127" s="4">
        <v>3125</v>
      </c>
      <c r="B3127" s="4" t="str">
        <f>"39712022060212305184940"</f>
        <v>39712022060212305184940</v>
      </c>
      <c r="C3127" s="4" t="s">
        <v>28</v>
      </c>
      <c r="D3127" s="4" t="str">
        <f>"邢叶"</f>
        <v>邢叶</v>
      </c>
      <c r="E3127" s="4" t="str">
        <f t="shared" si="124"/>
        <v>女</v>
      </c>
    </row>
    <row r="3128" spans="1:5" ht="30" customHeight="1">
      <c r="A3128" s="4">
        <v>3126</v>
      </c>
      <c r="B3128" s="4" t="str">
        <f>"39712022060212312084943"</f>
        <v>39712022060212312084943</v>
      </c>
      <c r="C3128" s="4" t="s">
        <v>28</v>
      </c>
      <c r="D3128" s="4" t="str">
        <f>"林圆好"</f>
        <v>林圆好</v>
      </c>
      <c r="E3128" s="4" t="str">
        <f t="shared" si="124"/>
        <v>女</v>
      </c>
    </row>
    <row r="3129" spans="1:5" ht="30" customHeight="1">
      <c r="A3129" s="4">
        <v>3127</v>
      </c>
      <c r="B3129" s="4" t="str">
        <f>"39712022060212312284944"</f>
        <v>39712022060212312284944</v>
      </c>
      <c r="C3129" s="4" t="s">
        <v>28</v>
      </c>
      <c r="D3129" s="4" t="str">
        <f>"陈静雯"</f>
        <v>陈静雯</v>
      </c>
      <c r="E3129" s="4" t="str">
        <f t="shared" si="124"/>
        <v>女</v>
      </c>
    </row>
    <row r="3130" spans="1:5" ht="30" customHeight="1">
      <c r="A3130" s="4">
        <v>3128</v>
      </c>
      <c r="B3130" s="4" t="str">
        <f>"39712022060212321484949"</f>
        <v>39712022060212321484949</v>
      </c>
      <c r="C3130" s="4" t="s">
        <v>28</v>
      </c>
      <c r="D3130" s="4" t="str">
        <f>"郝心苑"</f>
        <v>郝心苑</v>
      </c>
      <c r="E3130" s="4" t="str">
        <f t="shared" si="124"/>
        <v>女</v>
      </c>
    </row>
    <row r="3131" spans="1:5" ht="30" customHeight="1">
      <c r="A3131" s="4">
        <v>3129</v>
      </c>
      <c r="B3131" s="4" t="str">
        <f>"39712022060212334984960"</f>
        <v>39712022060212334984960</v>
      </c>
      <c r="C3131" s="4" t="s">
        <v>28</v>
      </c>
      <c r="D3131" s="4" t="str">
        <f>"张小慧"</f>
        <v>张小慧</v>
      </c>
      <c r="E3131" s="4" t="str">
        <f t="shared" si="124"/>
        <v>女</v>
      </c>
    </row>
    <row r="3132" spans="1:5" ht="30" customHeight="1">
      <c r="A3132" s="4">
        <v>3130</v>
      </c>
      <c r="B3132" s="4" t="str">
        <f>"39712022060212371884983"</f>
        <v>39712022060212371884983</v>
      </c>
      <c r="C3132" s="4" t="s">
        <v>28</v>
      </c>
      <c r="D3132" s="4" t="str">
        <f>"王宝银"</f>
        <v>王宝银</v>
      </c>
      <c r="E3132" s="4" t="str">
        <f t="shared" si="124"/>
        <v>女</v>
      </c>
    </row>
    <row r="3133" spans="1:5" ht="30" customHeight="1">
      <c r="A3133" s="4">
        <v>3131</v>
      </c>
      <c r="B3133" s="4" t="str">
        <f>"39712022060212374984985"</f>
        <v>39712022060212374984985</v>
      </c>
      <c r="C3133" s="4" t="s">
        <v>28</v>
      </c>
      <c r="D3133" s="4" t="str">
        <f>"陈焕丽"</f>
        <v>陈焕丽</v>
      </c>
      <c r="E3133" s="4" t="str">
        <f t="shared" si="124"/>
        <v>女</v>
      </c>
    </row>
    <row r="3134" spans="1:5" ht="30" customHeight="1">
      <c r="A3134" s="4">
        <v>3132</v>
      </c>
      <c r="B3134" s="4" t="str">
        <f>"39712022060212435485020"</f>
        <v>39712022060212435485020</v>
      </c>
      <c r="C3134" s="4" t="s">
        <v>28</v>
      </c>
      <c r="D3134" s="4" t="str">
        <f>"符春美"</f>
        <v>符春美</v>
      </c>
      <c r="E3134" s="4" t="str">
        <f t="shared" si="124"/>
        <v>女</v>
      </c>
    </row>
    <row r="3135" spans="1:5" ht="30" customHeight="1">
      <c r="A3135" s="4">
        <v>3133</v>
      </c>
      <c r="B3135" s="4" t="str">
        <f>"39712022060212482485047"</f>
        <v>39712022060212482485047</v>
      </c>
      <c r="C3135" s="4" t="s">
        <v>28</v>
      </c>
      <c r="D3135" s="4" t="str">
        <f>"董新楠"</f>
        <v>董新楠</v>
      </c>
      <c r="E3135" s="4" t="str">
        <f t="shared" si="124"/>
        <v>女</v>
      </c>
    </row>
    <row r="3136" spans="1:5" ht="30" customHeight="1">
      <c r="A3136" s="4">
        <v>3134</v>
      </c>
      <c r="B3136" s="4" t="str">
        <f>"39712022060212492385055"</f>
        <v>39712022060212492385055</v>
      </c>
      <c r="C3136" s="4" t="s">
        <v>28</v>
      </c>
      <c r="D3136" s="4" t="str">
        <f>"王玉婷"</f>
        <v>王玉婷</v>
      </c>
      <c r="E3136" s="4" t="str">
        <f t="shared" si="124"/>
        <v>女</v>
      </c>
    </row>
    <row r="3137" spans="1:5" ht="30" customHeight="1">
      <c r="A3137" s="4">
        <v>3135</v>
      </c>
      <c r="B3137" s="4" t="str">
        <f>"39712022060212495685060"</f>
        <v>39712022060212495685060</v>
      </c>
      <c r="C3137" s="4" t="s">
        <v>28</v>
      </c>
      <c r="D3137" s="4" t="str">
        <f>"吴延娥"</f>
        <v>吴延娥</v>
      </c>
      <c r="E3137" s="4" t="str">
        <f t="shared" si="124"/>
        <v>女</v>
      </c>
    </row>
    <row r="3138" spans="1:5" ht="30" customHeight="1">
      <c r="A3138" s="4">
        <v>3136</v>
      </c>
      <c r="B3138" s="4" t="str">
        <f>"39712022060212504485063"</f>
        <v>39712022060212504485063</v>
      </c>
      <c r="C3138" s="4" t="s">
        <v>28</v>
      </c>
      <c r="D3138" s="4" t="str">
        <f>"李梦鑫"</f>
        <v>李梦鑫</v>
      </c>
      <c r="E3138" s="4" t="str">
        <f t="shared" si="124"/>
        <v>女</v>
      </c>
    </row>
    <row r="3139" spans="1:5" ht="30" customHeight="1">
      <c r="A3139" s="4">
        <v>3137</v>
      </c>
      <c r="B3139" s="4" t="str">
        <f>"39712022060212521485074"</f>
        <v>39712022060212521485074</v>
      </c>
      <c r="C3139" s="4" t="s">
        <v>28</v>
      </c>
      <c r="D3139" s="4" t="str">
        <f>"马睿娴"</f>
        <v>马睿娴</v>
      </c>
      <c r="E3139" s="4" t="str">
        <f t="shared" si="124"/>
        <v>女</v>
      </c>
    </row>
    <row r="3140" spans="1:5" ht="30" customHeight="1">
      <c r="A3140" s="4">
        <v>3138</v>
      </c>
      <c r="B3140" s="4" t="str">
        <f>"39712022060212522685076"</f>
        <v>39712022060212522685076</v>
      </c>
      <c r="C3140" s="4" t="s">
        <v>28</v>
      </c>
      <c r="D3140" s="4" t="str">
        <f>"高圆圆"</f>
        <v>高圆圆</v>
      </c>
      <c r="E3140" s="4" t="str">
        <f t="shared" si="124"/>
        <v>女</v>
      </c>
    </row>
    <row r="3141" spans="1:5" ht="30" customHeight="1">
      <c r="A3141" s="4">
        <v>3139</v>
      </c>
      <c r="B3141" s="4" t="str">
        <f>"39712022060212540485085"</f>
        <v>39712022060212540485085</v>
      </c>
      <c r="C3141" s="4" t="s">
        <v>28</v>
      </c>
      <c r="D3141" s="4" t="str">
        <f>"符亚菊"</f>
        <v>符亚菊</v>
      </c>
      <c r="E3141" s="4" t="str">
        <f t="shared" si="124"/>
        <v>女</v>
      </c>
    </row>
    <row r="3142" spans="1:5" ht="30" customHeight="1">
      <c r="A3142" s="4">
        <v>3140</v>
      </c>
      <c r="B3142" s="4" t="str">
        <f>"39712022060212575285105"</f>
        <v>39712022060212575285105</v>
      </c>
      <c r="C3142" s="4" t="s">
        <v>28</v>
      </c>
      <c r="D3142" s="4" t="str">
        <f>"蔡雪莹"</f>
        <v>蔡雪莹</v>
      </c>
      <c r="E3142" s="4" t="str">
        <f t="shared" si="124"/>
        <v>女</v>
      </c>
    </row>
    <row r="3143" spans="1:5" ht="30" customHeight="1">
      <c r="A3143" s="4">
        <v>3141</v>
      </c>
      <c r="B3143" s="4" t="str">
        <f>"39712022060212593285111"</f>
        <v>39712022060212593285111</v>
      </c>
      <c r="C3143" s="4" t="s">
        <v>28</v>
      </c>
      <c r="D3143" s="4" t="str">
        <f>"梅柳晴"</f>
        <v>梅柳晴</v>
      </c>
      <c r="E3143" s="4" t="str">
        <f t="shared" si="124"/>
        <v>女</v>
      </c>
    </row>
    <row r="3144" spans="1:5" ht="30" customHeight="1">
      <c r="A3144" s="4">
        <v>3142</v>
      </c>
      <c r="B3144" s="4" t="str">
        <f>"39712022060213043185139"</f>
        <v>39712022060213043185139</v>
      </c>
      <c r="C3144" s="4" t="s">
        <v>28</v>
      </c>
      <c r="D3144" s="4" t="str">
        <f>"李文珍"</f>
        <v>李文珍</v>
      </c>
      <c r="E3144" s="4" t="str">
        <f t="shared" si="124"/>
        <v>女</v>
      </c>
    </row>
    <row r="3145" spans="1:5" ht="30" customHeight="1">
      <c r="A3145" s="4">
        <v>3143</v>
      </c>
      <c r="B3145" s="4" t="str">
        <f>"39712022060213044885140"</f>
        <v>39712022060213044885140</v>
      </c>
      <c r="C3145" s="4" t="s">
        <v>28</v>
      </c>
      <c r="D3145" s="4" t="str">
        <f>"侯王晓"</f>
        <v>侯王晓</v>
      </c>
      <c r="E3145" s="4" t="str">
        <f t="shared" si="124"/>
        <v>女</v>
      </c>
    </row>
    <row r="3146" spans="1:5" ht="30" customHeight="1">
      <c r="A3146" s="4">
        <v>3144</v>
      </c>
      <c r="B3146" s="4" t="str">
        <f>"39712022060213080185158"</f>
        <v>39712022060213080185158</v>
      </c>
      <c r="C3146" s="4" t="s">
        <v>28</v>
      </c>
      <c r="D3146" s="4" t="str">
        <f>"陈太完"</f>
        <v>陈太完</v>
      </c>
      <c r="E3146" s="4" t="str">
        <f t="shared" si="124"/>
        <v>女</v>
      </c>
    </row>
    <row r="3147" spans="1:5" ht="30" customHeight="1">
      <c r="A3147" s="4">
        <v>3145</v>
      </c>
      <c r="B3147" s="4" t="str">
        <f>"39712022060213104485174"</f>
        <v>39712022060213104485174</v>
      </c>
      <c r="C3147" s="4" t="s">
        <v>28</v>
      </c>
      <c r="D3147" s="4" t="str">
        <f>"王翠萍"</f>
        <v>王翠萍</v>
      </c>
      <c r="E3147" s="4" t="str">
        <f t="shared" si="124"/>
        <v>女</v>
      </c>
    </row>
    <row r="3148" spans="1:5" ht="30" customHeight="1">
      <c r="A3148" s="4">
        <v>3146</v>
      </c>
      <c r="B3148" s="4" t="str">
        <f>"39712022060213111285176"</f>
        <v>39712022060213111285176</v>
      </c>
      <c r="C3148" s="4" t="s">
        <v>28</v>
      </c>
      <c r="D3148" s="4" t="str">
        <f>"何佳欣"</f>
        <v>何佳欣</v>
      </c>
      <c r="E3148" s="4" t="str">
        <f t="shared" si="124"/>
        <v>女</v>
      </c>
    </row>
    <row r="3149" spans="1:5" ht="30" customHeight="1">
      <c r="A3149" s="4">
        <v>3147</v>
      </c>
      <c r="B3149" s="4" t="str">
        <f>"39712022060213123285178"</f>
        <v>39712022060213123285178</v>
      </c>
      <c r="C3149" s="4" t="s">
        <v>28</v>
      </c>
      <c r="D3149" s="4" t="str">
        <f>"李秀慧子"</f>
        <v>李秀慧子</v>
      </c>
      <c r="E3149" s="4" t="str">
        <f t="shared" si="124"/>
        <v>女</v>
      </c>
    </row>
    <row r="3150" spans="1:5" ht="30" customHeight="1">
      <c r="A3150" s="4">
        <v>3148</v>
      </c>
      <c r="B3150" s="4" t="str">
        <f>"39712022060213141785182"</f>
        <v>39712022060213141785182</v>
      </c>
      <c r="C3150" s="4" t="s">
        <v>28</v>
      </c>
      <c r="D3150" s="4" t="str">
        <f>"陈君君"</f>
        <v>陈君君</v>
      </c>
      <c r="E3150" s="4" t="str">
        <f t="shared" si="124"/>
        <v>女</v>
      </c>
    </row>
    <row r="3151" spans="1:5" ht="30" customHeight="1">
      <c r="A3151" s="4">
        <v>3149</v>
      </c>
      <c r="B3151" s="4" t="str">
        <f>"39712022060213153885187"</f>
        <v>39712022060213153885187</v>
      </c>
      <c r="C3151" s="4" t="s">
        <v>28</v>
      </c>
      <c r="D3151" s="4" t="str">
        <f>"毛冬花"</f>
        <v>毛冬花</v>
      </c>
      <c r="E3151" s="4" t="str">
        <f t="shared" si="124"/>
        <v>女</v>
      </c>
    </row>
    <row r="3152" spans="1:5" ht="30" customHeight="1">
      <c r="A3152" s="4">
        <v>3150</v>
      </c>
      <c r="B3152" s="4" t="str">
        <f>"39712022060213175885198"</f>
        <v>39712022060213175885198</v>
      </c>
      <c r="C3152" s="4" t="s">
        <v>28</v>
      </c>
      <c r="D3152" s="4" t="str">
        <f>"张秀丽"</f>
        <v>张秀丽</v>
      </c>
      <c r="E3152" s="4" t="str">
        <f t="shared" si="124"/>
        <v>女</v>
      </c>
    </row>
    <row r="3153" spans="1:5" ht="30" customHeight="1">
      <c r="A3153" s="4">
        <v>3151</v>
      </c>
      <c r="B3153" s="4" t="str">
        <f>"39712022060213195885207"</f>
        <v>39712022060213195885207</v>
      </c>
      <c r="C3153" s="4" t="s">
        <v>28</v>
      </c>
      <c r="D3153" s="4" t="str">
        <f>"程琳"</f>
        <v>程琳</v>
      </c>
      <c r="E3153" s="4" t="str">
        <f t="shared" si="124"/>
        <v>女</v>
      </c>
    </row>
    <row r="3154" spans="1:5" ht="30" customHeight="1">
      <c r="A3154" s="4">
        <v>3152</v>
      </c>
      <c r="B3154" s="4" t="str">
        <f>"39712022060213242185227"</f>
        <v>39712022060213242185227</v>
      </c>
      <c r="C3154" s="4" t="s">
        <v>28</v>
      </c>
      <c r="D3154" s="4" t="str">
        <f>"吴文君"</f>
        <v>吴文君</v>
      </c>
      <c r="E3154" s="4" t="str">
        <f t="shared" si="124"/>
        <v>女</v>
      </c>
    </row>
    <row r="3155" spans="1:5" ht="30" customHeight="1">
      <c r="A3155" s="4">
        <v>3153</v>
      </c>
      <c r="B3155" s="4" t="str">
        <f>"39712022060213260685237"</f>
        <v>39712022060213260685237</v>
      </c>
      <c r="C3155" s="4" t="s">
        <v>28</v>
      </c>
      <c r="D3155" s="4" t="str">
        <f>"黄奕琳"</f>
        <v>黄奕琳</v>
      </c>
      <c r="E3155" s="4" t="str">
        <f t="shared" si="124"/>
        <v>女</v>
      </c>
    </row>
    <row r="3156" spans="1:5" ht="30" customHeight="1">
      <c r="A3156" s="4">
        <v>3154</v>
      </c>
      <c r="B3156" s="4" t="str">
        <f>"39712022060213293085253"</f>
        <v>39712022060213293085253</v>
      </c>
      <c r="C3156" s="4" t="s">
        <v>28</v>
      </c>
      <c r="D3156" s="4" t="str">
        <f>"石家慧"</f>
        <v>石家慧</v>
      </c>
      <c r="E3156" s="4" t="str">
        <f t="shared" si="124"/>
        <v>女</v>
      </c>
    </row>
    <row r="3157" spans="1:5" ht="30" customHeight="1">
      <c r="A3157" s="4">
        <v>3155</v>
      </c>
      <c r="B3157" s="4" t="str">
        <f>"39712022060213311985261"</f>
        <v>39712022060213311985261</v>
      </c>
      <c r="C3157" s="4" t="s">
        <v>28</v>
      </c>
      <c r="D3157" s="4" t="str">
        <f>"王琼莹"</f>
        <v>王琼莹</v>
      </c>
      <c r="E3157" s="4" t="str">
        <f t="shared" si="124"/>
        <v>女</v>
      </c>
    </row>
    <row r="3158" spans="1:5" ht="30" customHeight="1">
      <c r="A3158" s="4">
        <v>3156</v>
      </c>
      <c r="B3158" s="4" t="str">
        <f>"39712022060213324385265"</f>
        <v>39712022060213324385265</v>
      </c>
      <c r="C3158" s="4" t="s">
        <v>28</v>
      </c>
      <c r="D3158" s="4" t="str">
        <f>"黄敏茗"</f>
        <v>黄敏茗</v>
      </c>
      <c r="E3158" s="4" t="str">
        <f t="shared" si="124"/>
        <v>女</v>
      </c>
    </row>
    <row r="3159" spans="1:5" ht="30" customHeight="1">
      <c r="A3159" s="4">
        <v>3157</v>
      </c>
      <c r="B3159" s="4" t="str">
        <f>"39712022060213342885276"</f>
        <v>39712022060213342885276</v>
      </c>
      <c r="C3159" s="4" t="s">
        <v>28</v>
      </c>
      <c r="D3159" s="4" t="str">
        <f>"曲鹏"</f>
        <v>曲鹏</v>
      </c>
      <c r="E3159" s="4" t="str">
        <f t="shared" si="124"/>
        <v>女</v>
      </c>
    </row>
    <row r="3160" spans="1:5" ht="30" customHeight="1">
      <c r="A3160" s="4">
        <v>3158</v>
      </c>
      <c r="B3160" s="4" t="str">
        <f>"39712022060213370185286"</f>
        <v>39712022060213370185286</v>
      </c>
      <c r="C3160" s="4" t="s">
        <v>28</v>
      </c>
      <c r="D3160" s="4" t="str">
        <f>"林俐宏"</f>
        <v>林俐宏</v>
      </c>
      <c r="E3160" s="4" t="str">
        <f t="shared" si="124"/>
        <v>女</v>
      </c>
    </row>
    <row r="3161" spans="1:5" ht="30" customHeight="1">
      <c r="A3161" s="4">
        <v>3159</v>
      </c>
      <c r="B3161" s="4" t="str">
        <f>"39712022060213371985288"</f>
        <v>39712022060213371985288</v>
      </c>
      <c r="C3161" s="4" t="s">
        <v>28</v>
      </c>
      <c r="D3161" s="4" t="str">
        <f>"田野"</f>
        <v>田野</v>
      </c>
      <c r="E3161" s="4" t="str">
        <f t="shared" si="124"/>
        <v>女</v>
      </c>
    </row>
    <row r="3162" spans="1:5" ht="30" customHeight="1">
      <c r="A3162" s="4">
        <v>3160</v>
      </c>
      <c r="B3162" s="4" t="str">
        <f>"39712022060213434385318"</f>
        <v>39712022060213434385318</v>
      </c>
      <c r="C3162" s="4" t="s">
        <v>28</v>
      </c>
      <c r="D3162" s="4" t="str">
        <f>"吴晓明"</f>
        <v>吴晓明</v>
      </c>
      <c r="E3162" s="4" t="str">
        <f t="shared" si="124"/>
        <v>女</v>
      </c>
    </row>
    <row r="3163" spans="1:5" ht="30" customHeight="1">
      <c r="A3163" s="4">
        <v>3161</v>
      </c>
      <c r="B3163" s="4" t="str">
        <f>"39712022060213445385321"</f>
        <v>39712022060213445385321</v>
      </c>
      <c r="C3163" s="4" t="s">
        <v>28</v>
      </c>
      <c r="D3163" s="4" t="str">
        <f>"陈芳香"</f>
        <v>陈芳香</v>
      </c>
      <c r="E3163" s="4" t="str">
        <f t="shared" si="124"/>
        <v>女</v>
      </c>
    </row>
    <row r="3164" spans="1:5" ht="30" customHeight="1">
      <c r="A3164" s="4">
        <v>3162</v>
      </c>
      <c r="B3164" s="4" t="str">
        <f>"39712022060213464585327"</f>
        <v>39712022060213464585327</v>
      </c>
      <c r="C3164" s="4" t="s">
        <v>28</v>
      </c>
      <c r="D3164" s="4" t="str">
        <f>"王蕾"</f>
        <v>王蕾</v>
      </c>
      <c r="E3164" s="4" t="str">
        <f t="shared" si="124"/>
        <v>女</v>
      </c>
    </row>
    <row r="3165" spans="1:5" ht="30" customHeight="1">
      <c r="A3165" s="4">
        <v>3163</v>
      </c>
      <c r="B3165" s="4" t="str">
        <f>"39712022060213555585363"</f>
        <v>39712022060213555585363</v>
      </c>
      <c r="C3165" s="4" t="s">
        <v>28</v>
      </c>
      <c r="D3165" s="4" t="str">
        <f>"单婉茹"</f>
        <v>单婉茹</v>
      </c>
      <c r="E3165" s="4" t="str">
        <f t="shared" si="124"/>
        <v>女</v>
      </c>
    </row>
    <row r="3166" spans="1:5" ht="30" customHeight="1">
      <c r="A3166" s="4">
        <v>3164</v>
      </c>
      <c r="B3166" s="4" t="str">
        <f>"39712022060213563385366"</f>
        <v>39712022060213563385366</v>
      </c>
      <c r="C3166" s="4" t="s">
        <v>28</v>
      </c>
      <c r="D3166" s="4" t="str">
        <f>"林丽媛"</f>
        <v>林丽媛</v>
      </c>
      <c r="E3166" s="4" t="str">
        <f t="shared" si="124"/>
        <v>女</v>
      </c>
    </row>
    <row r="3167" spans="1:5" ht="30" customHeight="1">
      <c r="A3167" s="4">
        <v>3165</v>
      </c>
      <c r="B3167" s="4" t="str">
        <f>"39712022060214034985402"</f>
        <v>39712022060214034985402</v>
      </c>
      <c r="C3167" s="4" t="s">
        <v>28</v>
      </c>
      <c r="D3167" s="4" t="str">
        <f>"何婷婷"</f>
        <v>何婷婷</v>
      </c>
      <c r="E3167" s="4" t="str">
        <f t="shared" si="124"/>
        <v>女</v>
      </c>
    </row>
    <row r="3168" spans="1:5" ht="30" customHeight="1">
      <c r="A3168" s="4">
        <v>3166</v>
      </c>
      <c r="B3168" s="4" t="str">
        <f>"39712022060214110485423"</f>
        <v>39712022060214110485423</v>
      </c>
      <c r="C3168" s="4" t="s">
        <v>28</v>
      </c>
      <c r="D3168" s="4" t="str">
        <f>"陈凤妍"</f>
        <v>陈凤妍</v>
      </c>
      <c r="E3168" s="4" t="str">
        <f t="shared" si="124"/>
        <v>女</v>
      </c>
    </row>
    <row r="3169" spans="1:5" ht="30" customHeight="1">
      <c r="A3169" s="4">
        <v>3167</v>
      </c>
      <c r="B3169" s="4" t="str">
        <f>"39712022060214163785448"</f>
        <v>39712022060214163785448</v>
      </c>
      <c r="C3169" s="4" t="s">
        <v>28</v>
      </c>
      <c r="D3169" s="4" t="str">
        <f>"罗小妹"</f>
        <v>罗小妹</v>
      </c>
      <c r="E3169" s="4" t="str">
        <f t="shared" si="124"/>
        <v>女</v>
      </c>
    </row>
    <row r="3170" spans="1:5" ht="30" customHeight="1">
      <c r="A3170" s="4">
        <v>3168</v>
      </c>
      <c r="B3170" s="4" t="str">
        <f>"39712022060214215985472"</f>
        <v>39712022060214215985472</v>
      </c>
      <c r="C3170" s="4" t="s">
        <v>28</v>
      </c>
      <c r="D3170" s="4" t="str">
        <f>"吴茜茜"</f>
        <v>吴茜茜</v>
      </c>
      <c r="E3170" s="4" t="str">
        <f t="shared" si="124"/>
        <v>女</v>
      </c>
    </row>
    <row r="3171" spans="1:5" ht="30" customHeight="1">
      <c r="A3171" s="4">
        <v>3169</v>
      </c>
      <c r="B3171" s="4" t="str">
        <f>"39712022060214254785482"</f>
        <v>39712022060214254785482</v>
      </c>
      <c r="C3171" s="4" t="s">
        <v>28</v>
      </c>
      <c r="D3171" s="4" t="str">
        <f>"陈妍婷"</f>
        <v>陈妍婷</v>
      </c>
      <c r="E3171" s="4" t="str">
        <f t="shared" si="124"/>
        <v>女</v>
      </c>
    </row>
    <row r="3172" spans="1:5" ht="30" customHeight="1">
      <c r="A3172" s="4">
        <v>3170</v>
      </c>
      <c r="B3172" s="4" t="str">
        <f>"39712022060214325085512"</f>
        <v>39712022060214325085512</v>
      </c>
      <c r="C3172" s="4" t="s">
        <v>28</v>
      </c>
      <c r="D3172" s="4" t="str">
        <f>"张紫涵"</f>
        <v>张紫涵</v>
      </c>
      <c r="E3172" s="4" t="str">
        <f t="shared" si="124"/>
        <v>女</v>
      </c>
    </row>
    <row r="3173" spans="1:5" ht="30" customHeight="1">
      <c r="A3173" s="4">
        <v>3171</v>
      </c>
      <c r="B3173" s="4" t="str">
        <f>"39712022060214364985524"</f>
        <v>39712022060214364985524</v>
      </c>
      <c r="C3173" s="4" t="s">
        <v>28</v>
      </c>
      <c r="D3173" s="4" t="str">
        <f>"吴少云"</f>
        <v>吴少云</v>
      </c>
      <c r="E3173" s="4" t="str">
        <f t="shared" si="124"/>
        <v>女</v>
      </c>
    </row>
    <row r="3174" spans="1:5" ht="30" customHeight="1">
      <c r="A3174" s="4">
        <v>3172</v>
      </c>
      <c r="B3174" s="4" t="str">
        <f>"39712022060214420485542"</f>
        <v>39712022060214420485542</v>
      </c>
      <c r="C3174" s="4" t="s">
        <v>28</v>
      </c>
      <c r="D3174" s="4" t="str">
        <f>"容鸿珊"</f>
        <v>容鸿珊</v>
      </c>
      <c r="E3174" s="4" t="str">
        <f t="shared" si="124"/>
        <v>女</v>
      </c>
    </row>
    <row r="3175" spans="1:5" ht="30" customHeight="1">
      <c r="A3175" s="4">
        <v>3173</v>
      </c>
      <c r="B3175" s="4" t="str">
        <f>"39712022060214421485544"</f>
        <v>39712022060214421485544</v>
      </c>
      <c r="C3175" s="4" t="s">
        <v>28</v>
      </c>
      <c r="D3175" s="4" t="str">
        <f>"江萍"</f>
        <v>江萍</v>
      </c>
      <c r="E3175" s="4" t="str">
        <f t="shared" si="124"/>
        <v>女</v>
      </c>
    </row>
    <row r="3176" spans="1:5" ht="30" customHeight="1">
      <c r="A3176" s="4">
        <v>3174</v>
      </c>
      <c r="B3176" s="4" t="str">
        <f>"39712022060214432185547"</f>
        <v>39712022060214432185547</v>
      </c>
      <c r="C3176" s="4" t="s">
        <v>28</v>
      </c>
      <c r="D3176" s="4" t="str">
        <f>"赵梦璐"</f>
        <v>赵梦璐</v>
      </c>
      <c r="E3176" s="4" t="str">
        <f t="shared" si="124"/>
        <v>女</v>
      </c>
    </row>
    <row r="3177" spans="1:5" ht="30" customHeight="1">
      <c r="A3177" s="4">
        <v>3175</v>
      </c>
      <c r="B3177" s="4" t="str">
        <f>"39712022060214450685562"</f>
        <v>39712022060214450685562</v>
      </c>
      <c r="C3177" s="4" t="s">
        <v>28</v>
      </c>
      <c r="D3177" s="4" t="str">
        <f>"周燕娇"</f>
        <v>周燕娇</v>
      </c>
      <c r="E3177" s="4" t="str">
        <f t="shared" si="124"/>
        <v>女</v>
      </c>
    </row>
    <row r="3178" spans="1:5" ht="30" customHeight="1">
      <c r="A3178" s="4">
        <v>3176</v>
      </c>
      <c r="B3178" s="4" t="str">
        <f>"39712022060214481785579"</f>
        <v>39712022060214481785579</v>
      </c>
      <c r="C3178" s="4" t="s">
        <v>28</v>
      </c>
      <c r="D3178" s="4" t="str">
        <f>"陈思羽"</f>
        <v>陈思羽</v>
      </c>
      <c r="E3178" s="4" t="str">
        <f t="shared" si="124"/>
        <v>女</v>
      </c>
    </row>
    <row r="3179" spans="1:5" ht="30" customHeight="1">
      <c r="A3179" s="4">
        <v>3177</v>
      </c>
      <c r="B3179" s="4" t="str">
        <f>"39712022060214493785585"</f>
        <v>39712022060214493785585</v>
      </c>
      <c r="C3179" s="4" t="s">
        <v>28</v>
      </c>
      <c r="D3179" s="4" t="str">
        <f>"沈桓妃"</f>
        <v>沈桓妃</v>
      </c>
      <c r="E3179" s="4" t="str">
        <f t="shared" si="124"/>
        <v>女</v>
      </c>
    </row>
    <row r="3180" spans="1:5" ht="30" customHeight="1">
      <c r="A3180" s="4">
        <v>3178</v>
      </c>
      <c r="B3180" s="4" t="str">
        <f>"39712022060214494485587"</f>
        <v>39712022060214494485587</v>
      </c>
      <c r="C3180" s="4" t="s">
        <v>28</v>
      </c>
      <c r="D3180" s="4" t="str">
        <f>"林羚"</f>
        <v>林羚</v>
      </c>
      <c r="E3180" s="4" t="str">
        <f t="shared" si="124"/>
        <v>女</v>
      </c>
    </row>
    <row r="3181" spans="1:5" ht="30" customHeight="1">
      <c r="A3181" s="4">
        <v>3179</v>
      </c>
      <c r="B3181" s="4" t="str">
        <f>"39712022060214532085610"</f>
        <v>39712022060214532085610</v>
      </c>
      <c r="C3181" s="4" t="s">
        <v>28</v>
      </c>
      <c r="D3181" s="4" t="str">
        <f>"罗思婷"</f>
        <v>罗思婷</v>
      </c>
      <c r="E3181" s="4" t="str">
        <f t="shared" si="124"/>
        <v>女</v>
      </c>
    </row>
    <row r="3182" spans="1:5" ht="30" customHeight="1">
      <c r="A3182" s="4">
        <v>3180</v>
      </c>
      <c r="B3182" s="4" t="str">
        <f>"39712022060214561085628"</f>
        <v>39712022060214561085628</v>
      </c>
      <c r="C3182" s="4" t="s">
        <v>28</v>
      </c>
      <c r="D3182" s="4" t="str">
        <f>"黄陈梅"</f>
        <v>黄陈梅</v>
      </c>
      <c r="E3182" s="4" t="str">
        <f t="shared" si="124"/>
        <v>女</v>
      </c>
    </row>
    <row r="3183" spans="1:5" ht="30" customHeight="1">
      <c r="A3183" s="4">
        <v>3181</v>
      </c>
      <c r="B3183" s="4" t="str">
        <f>"39712022060214572785639"</f>
        <v>39712022060214572785639</v>
      </c>
      <c r="C3183" s="4" t="s">
        <v>28</v>
      </c>
      <c r="D3183" s="4" t="str">
        <f>"何阿暖"</f>
        <v>何阿暖</v>
      </c>
      <c r="E3183" s="4" t="str">
        <f t="shared" si="124"/>
        <v>女</v>
      </c>
    </row>
    <row r="3184" spans="1:5" ht="30" customHeight="1">
      <c r="A3184" s="4">
        <v>3182</v>
      </c>
      <c r="B3184" s="4" t="str">
        <f>"39712022060214593085647"</f>
        <v>39712022060214593085647</v>
      </c>
      <c r="C3184" s="4" t="s">
        <v>28</v>
      </c>
      <c r="D3184" s="4" t="str">
        <f>"林桂香"</f>
        <v>林桂香</v>
      </c>
      <c r="E3184" s="4" t="str">
        <f t="shared" si="124"/>
        <v>女</v>
      </c>
    </row>
    <row r="3185" spans="1:5" ht="30" customHeight="1">
      <c r="A3185" s="4">
        <v>3183</v>
      </c>
      <c r="B3185" s="4" t="str">
        <f>"39712022060214594085648"</f>
        <v>39712022060214594085648</v>
      </c>
      <c r="C3185" s="4" t="s">
        <v>28</v>
      </c>
      <c r="D3185" s="4" t="str">
        <f>"王艺婷"</f>
        <v>王艺婷</v>
      </c>
      <c r="E3185" s="4" t="str">
        <f t="shared" si="124"/>
        <v>女</v>
      </c>
    </row>
    <row r="3186" spans="1:5" ht="30" customHeight="1">
      <c r="A3186" s="4">
        <v>3184</v>
      </c>
      <c r="B3186" s="4" t="str">
        <f>"39712022060215004685653"</f>
        <v>39712022060215004685653</v>
      </c>
      <c r="C3186" s="4" t="s">
        <v>28</v>
      </c>
      <c r="D3186" s="4" t="str">
        <f>"姜楠"</f>
        <v>姜楠</v>
      </c>
      <c r="E3186" s="4" t="str">
        <f t="shared" si="124"/>
        <v>女</v>
      </c>
    </row>
    <row r="3187" spans="1:5" ht="30" customHeight="1">
      <c r="A3187" s="4">
        <v>3185</v>
      </c>
      <c r="B3187" s="4" t="str">
        <f>"39712022060215044585683"</f>
        <v>39712022060215044585683</v>
      </c>
      <c r="C3187" s="4" t="s">
        <v>28</v>
      </c>
      <c r="D3187" s="4" t="str">
        <f>"伍利君"</f>
        <v>伍利君</v>
      </c>
      <c r="E3187" s="4" t="str">
        <f t="shared" si="124"/>
        <v>女</v>
      </c>
    </row>
    <row r="3188" spans="1:5" ht="30" customHeight="1">
      <c r="A3188" s="4">
        <v>3186</v>
      </c>
      <c r="B3188" s="4" t="str">
        <f>"39712022060215063185699"</f>
        <v>39712022060215063185699</v>
      </c>
      <c r="C3188" s="4" t="s">
        <v>28</v>
      </c>
      <c r="D3188" s="4" t="str">
        <f>"祁曼玉"</f>
        <v>祁曼玉</v>
      </c>
      <c r="E3188" s="4" t="str">
        <f t="shared" si="124"/>
        <v>女</v>
      </c>
    </row>
    <row r="3189" spans="1:5" ht="30" customHeight="1">
      <c r="A3189" s="4">
        <v>3187</v>
      </c>
      <c r="B3189" s="4" t="str">
        <f>"39712022060215083985711"</f>
        <v>39712022060215083985711</v>
      </c>
      <c r="C3189" s="4" t="s">
        <v>28</v>
      </c>
      <c r="D3189" s="4" t="str">
        <f>"魏琪"</f>
        <v>魏琪</v>
      </c>
      <c r="E3189" s="4" t="str">
        <f>"女"</f>
        <v>女</v>
      </c>
    </row>
    <row r="3190" spans="1:5" ht="30" customHeight="1">
      <c r="A3190" s="4">
        <v>3188</v>
      </c>
      <c r="B3190" s="4" t="str">
        <f>"39712022060215100385716"</f>
        <v>39712022060215100385716</v>
      </c>
      <c r="C3190" s="4" t="s">
        <v>28</v>
      </c>
      <c r="D3190" s="4" t="str">
        <f>"王敏"</f>
        <v>王敏</v>
      </c>
      <c r="E3190" s="4" t="str">
        <f>"女"</f>
        <v>女</v>
      </c>
    </row>
    <row r="3191" spans="1:5" ht="30" customHeight="1">
      <c r="A3191" s="4">
        <v>3189</v>
      </c>
      <c r="B3191" s="4" t="str">
        <f>"39712022060215161585751"</f>
        <v>39712022060215161585751</v>
      </c>
      <c r="C3191" s="4" t="s">
        <v>28</v>
      </c>
      <c r="D3191" s="4" t="str">
        <f>"吴清叶"</f>
        <v>吴清叶</v>
      </c>
      <c r="E3191" s="4" t="str">
        <f>"女"</f>
        <v>女</v>
      </c>
    </row>
    <row r="3192" spans="1:5" ht="30" customHeight="1">
      <c r="A3192" s="4">
        <v>3190</v>
      </c>
      <c r="B3192" s="4" t="str">
        <f>"39712022060215171185755"</f>
        <v>39712022060215171185755</v>
      </c>
      <c r="C3192" s="4" t="s">
        <v>28</v>
      </c>
      <c r="D3192" s="4" t="str">
        <f>"黎美青"</f>
        <v>黎美青</v>
      </c>
      <c r="E3192" s="4" t="str">
        <f>"女"</f>
        <v>女</v>
      </c>
    </row>
    <row r="3193" spans="1:5" ht="30" customHeight="1">
      <c r="A3193" s="4">
        <v>3191</v>
      </c>
      <c r="B3193" s="4" t="str">
        <f>"39712022060215203185787"</f>
        <v>39712022060215203185787</v>
      </c>
      <c r="C3193" s="4" t="s">
        <v>28</v>
      </c>
      <c r="D3193" s="4" t="str">
        <f>"谢金燕"</f>
        <v>谢金燕</v>
      </c>
      <c r="E3193" s="4" t="str">
        <f>"女"</f>
        <v>女</v>
      </c>
    </row>
    <row r="3194" spans="1:5" ht="30" customHeight="1">
      <c r="A3194" s="4">
        <v>3192</v>
      </c>
      <c r="B3194" s="4" t="str">
        <f>"39712022060215263785818"</f>
        <v>39712022060215263785818</v>
      </c>
      <c r="C3194" s="4" t="s">
        <v>28</v>
      </c>
      <c r="D3194" s="4" t="str">
        <f>"文精义"</f>
        <v>文精义</v>
      </c>
      <c r="E3194" s="4" t="str">
        <f>"男"</f>
        <v>男</v>
      </c>
    </row>
    <row r="3195" spans="1:5" ht="30" customHeight="1">
      <c r="A3195" s="4">
        <v>3193</v>
      </c>
      <c r="B3195" s="4" t="str">
        <f>"39712022060215303985837"</f>
        <v>39712022060215303985837</v>
      </c>
      <c r="C3195" s="4" t="s">
        <v>28</v>
      </c>
      <c r="D3195" s="4" t="str">
        <f>"吕英春"</f>
        <v>吕英春</v>
      </c>
      <c r="E3195" s="4" t="str">
        <f aca="true" t="shared" si="125" ref="E3195:E3220">"女"</f>
        <v>女</v>
      </c>
    </row>
    <row r="3196" spans="1:5" ht="30" customHeight="1">
      <c r="A3196" s="4">
        <v>3194</v>
      </c>
      <c r="B3196" s="4" t="str">
        <f>"39712022060215322385847"</f>
        <v>39712022060215322385847</v>
      </c>
      <c r="C3196" s="4" t="s">
        <v>28</v>
      </c>
      <c r="D3196" s="4" t="str">
        <f>"孙秀丽"</f>
        <v>孙秀丽</v>
      </c>
      <c r="E3196" s="4" t="str">
        <f t="shared" si="125"/>
        <v>女</v>
      </c>
    </row>
    <row r="3197" spans="1:5" ht="30" customHeight="1">
      <c r="A3197" s="4">
        <v>3195</v>
      </c>
      <c r="B3197" s="4" t="str">
        <f>"39712022060215323885849"</f>
        <v>39712022060215323885849</v>
      </c>
      <c r="C3197" s="4" t="s">
        <v>28</v>
      </c>
      <c r="D3197" s="4" t="str">
        <f>"谭文颖"</f>
        <v>谭文颖</v>
      </c>
      <c r="E3197" s="4" t="str">
        <f t="shared" si="125"/>
        <v>女</v>
      </c>
    </row>
    <row r="3198" spans="1:5" ht="30" customHeight="1">
      <c r="A3198" s="4">
        <v>3196</v>
      </c>
      <c r="B3198" s="4" t="str">
        <f>"39712022060215335485858"</f>
        <v>39712022060215335485858</v>
      </c>
      <c r="C3198" s="4" t="s">
        <v>28</v>
      </c>
      <c r="D3198" s="4" t="str">
        <f>"王琼利"</f>
        <v>王琼利</v>
      </c>
      <c r="E3198" s="4" t="str">
        <f t="shared" si="125"/>
        <v>女</v>
      </c>
    </row>
    <row r="3199" spans="1:5" ht="30" customHeight="1">
      <c r="A3199" s="4">
        <v>3197</v>
      </c>
      <c r="B3199" s="4" t="str">
        <f>"39712022060215351685862"</f>
        <v>39712022060215351685862</v>
      </c>
      <c r="C3199" s="4" t="s">
        <v>28</v>
      </c>
      <c r="D3199" s="4" t="str">
        <f>"邢云淋"</f>
        <v>邢云淋</v>
      </c>
      <c r="E3199" s="4" t="str">
        <f t="shared" si="125"/>
        <v>女</v>
      </c>
    </row>
    <row r="3200" spans="1:5" ht="30" customHeight="1">
      <c r="A3200" s="4">
        <v>3198</v>
      </c>
      <c r="B3200" s="4" t="str">
        <f>"39712022060215360585870"</f>
        <v>39712022060215360585870</v>
      </c>
      <c r="C3200" s="4" t="s">
        <v>28</v>
      </c>
      <c r="D3200" s="4" t="str">
        <f>"陈淑南"</f>
        <v>陈淑南</v>
      </c>
      <c r="E3200" s="4" t="str">
        <f t="shared" si="125"/>
        <v>女</v>
      </c>
    </row>
    <row r="3201" spans="1:5" ht="30" customHeight="1">
      <c r="A3201" s="4">
        <v>3199</v>
      </c>
      <c r="B3201" s="4" t="str">
        <f>"39712022060215390585889"</f>
        <v>39712022060215390585889</v>
      </c>
      <c r="C3201" s="4" t="s">
        <v>28</v>
      </c>
      <c r="D3201" s="4" t="str">
        <f>"刘诗雅"</f>
        <v>刘诗雅</v>
      </c>
      <c r="E3201" s="4" t="str">
        <f t="shared" si="125"/>
        <v>女</v>
      </c>
    </row>
    <row r="3202" spans="1:5" ht="30" customHeight="1">
      <c r="A3202" s="4">
        <v>3200</v>
      </c>
      <c r="B3202" s="4" t="str">
        <f>"39712022060215400185894"</f>
        <v>39712022060215400185894</v>
      </c>
      <c r="C3202" s="4" t="s">
        <v>28</v>
      </c>
      <c r="D3202" s="4" t="str">
        <f>"陈小慧"</f>
        <v>陈小慧</v>
      </c>
      <c r="E3202" s="4" t="str">
        <f t="shared" si="125"/>
        <v>女</v>
      </c>
    </row>
    <row r="3203" spans="1:5" ht="30" customHeight="1">
      <c r="A3203" s="4">
        <v>3201</v>
      </c>
      <c r="B3203" s="4" t="str">
        <f>"39712022060215413485902"</f>
        <v>39712022060215413485902</v>
      </c>
      <c r="C3203" s="4" t="s">
        <v>28</v>
      </c>
      <c r="D3203" s="4" t="str">
        <f>"吴泽敏"</f>
        <v>吴泽敏</v>
      </c>
      <c r="E3203" s="4" t="str">
        <f t="shared" si="125"/>
        <v>女</v>
      </c>
    </row>
    <row r="3204" spans="1:5" ht="30" customHeight="1">
      <c r="A3204" s="4">
        <v>3202</v>
      </c>
      <c r="B3204" s="4" t="str">
        <f>"39712022060215432485912"</f>
        <v>39712022060215432485912</v>
      </c>
      <c r="C3204" s="4" t="s">
        <v>28</v>
      </c>
      <c r="D3204" s="4" t="str">
        <f>"刘佳"</f>
        <v>刘佳</v>
      </c>
      <c r="E3204" s="4" t="str">
        <f t="shared" si="125"/>
        <v>女</v>
      </c>
    </row>
    <row r="3205" spans="1:5" ht="30" customHeight="1">
      <c r="A3205" s="4">
        <v>3203</v>
      </c>
      <c r="B3205" s="4" t="str">
        <f>"39712022060215463485929"</f>
        <v>39712022060215463485929</v>
      </c>
      <c r="C3205" s="4" t="s">
        <v>28</v>
      </c>
      <c r="D3205" s="4" t="str">
        <f>"童丽秋"</f>
        <v>童丽秋</v>
      </c>
      <c r="E3205" s="4" t="str">
        <f t="shared" si="125"/>
        <v>女</v>
      </c>
    </row>
    <row r="3206" spans="1:5" ht="30" customHeight="1">
      <c r="A3206" s="4">
        <v>3204</v>
      </c>
      <c r="B3206" s="4" t="str">
        <f>"39712022060215475485934"</f>
        <v>39712022060215475485934</v>
      </c>
      <c r="C3206" s="4" t="s">
        <v>28</v>
      </c>
      <c r="D3206" s="4" t="str">
        <f>"陈云娜"</f>
        <v>陈云娜</v>
      </c>
      <c r="E3206" s="4" t="str">
        <f t="shared" si="125"/>
        <v>女</v>
      </c>
    </row>
    <row r="3207" spans="1:5" ht="30" customHeight="1">
      <c r="A3207" s="4">
        <v>3205</v>
      </c>
      <c r="B3207" s="4" t="str">
        <f>"39712022060215485585940"</f>
        <v>39712022060215485585940</v>
      </c>
      <c r="C3207" s="4" t="s">
        <v>28</v>
      </c>
      <c r="D3207" s="4" t="str">
        <f>"王惠"</f>
        <v>王惠</v>
      </c>
      <c r="E3207" s="4" t="str">
        <f t="shared" si="125"/>
        <v>女</v>
      </c>
    </row>
    <row r="3208" spans="1:5" ht="30" customHeight="1">
      <c r="A3208" s="4">
        <v>3206</v>
      </c>
      <c r="B3208" s="4" t="str">
        <f>"39712022060215495085946"</f>
        <v>39712022060215495085946</v>
      </c>
      <c r="C3208" s="4" t="s">
        <v>28</v>
      </c>
      <c r="D3208" s="4" t="str">
        <f>"吴敏晓"</f>
        <v>吴敏晓</v>
      </c>
      <c r="E3208" s="4" t="str">
        <f t="shared" si="125"/>
        <v>女</v>
      </c>
    </row>
    <row r="3209" spans="1:5" ht="30" customHeight="1">
      <c r="A3209" s="4">
        <v>3207</v>
      </c>
      <c r="B3209" s="4" t="str">
        <f>"39712022060215504185950"</f>
        <v>39712022060215504185950</v>
      </c>
      <c r="C3209" s="4" t="s">
        <v>28</v>
      </c>
      <c r="D3209" s="4" t="str">
        <f>"郭琼女"</f>
        <v>郭琼女</v>
      </c>
      <c r="E3209" s="4" t="str">
        <f t="shared" si="125"/>
        <v>女</v>
      </c>
    </row>
    <row r="3210" spans="1:5" ht="30" customHeight="1">
      <c r="A3210" s="4">
        <v>3208</v>
      </c>
      <c r="B3210" s="4" t="str">
        <f>"39712022060215504985951"</f>
        <v>39712022060215504985951</v>
      </c>
      <c r="C3210" s="4" t="s">
        <v>28</v>
      </c>
      <c r="D3210" s="4" t="str">
        <f>"廖情"</f>
        <v>廖情</v>
      </c>
      <c r="E3210" s="4" t="str">
        <f t="shared" si="125"/>
        <v>女</v>
      </c>
    </row>
    <row r="3211" spans="1:5" ht="30" customHeight="1">
      <c r="A3211" s="4">
        <v>3209</v>
      </c>
      <c r="B3211" s="4" t="str">
        <f>"39712022060215510085952"</f>
        <v>39712022060215510085952</v>
      </c>
      <c r="C3211" s="4" t="s">
        <v>28</v>
      </c>
      <c r="D3211" s="4" t="str">
        <f>"李丹丹"</f>
        <v>李丹丹</v>
      </c>
      <c r="E3211" s="4" t="str">
        <f t="shared" si="125"/>
        <v>女</v>
      </c>
    </row>
    <row r="3212" spans="1:5" ht="30" customHeight="1">
      <c r="A3212" s="4">
        <v>3210</v>
      </c>
      <c r="B3212" s="4" t="str">
        <f>"39712022060215510485953"</f>
        <v>39712022060215510485953</v>
      </c>
      <c r="C3212" s="4" t="s">
        <v>28</v>
      </c>
      <c r="D3212" s="4" t="str">
        <f>"钟金姐"</f>
        <v>钟金姐</v>
      </c>
      <c r="E3212" s="4" t="str">
        <f t="shared" si="125"/>
        <v>女</v>
      </c>
    </row>
    <row r="3213" spans="1:5" ht="30" customHeight="1">
      <c r="A3213" s="4">
        <v>3211</v>
      </c>
      <c r="B3213" s="4" t="str">
        <f>"39712022060215535385964"</f>
        <v>39712022060215535385964</v>
      </c>
      <c r="C3213" s="4" t="s">
        <v>28</v>
      </c>
      <c r="D3213" s="4" t="str">
        <f>"张钟文"</f>
        <v>张钟文</v>
      </c>
      <c r="E3213" s="4" t="str">
        <f t="shared" si="125"/>
        <v>女</v>
      </c>
    </row>
    <row r="3214" spans="1:5" ht="30" customHeight="1">
      <c r="A3214" s="4">
        <v>3212</v>
      </c>
      <c r="B3214" s="4" t="str">
        <f>"39712022060215551885974"</f>
        <v>39712022060215551885974</v>
      </c>
      <c r="C3214" s="4" t="s">
        <v>28</v>
      </c>
      <c r="D3214" s="4" t="str">
        <f>"符霞萍"</f>
        <v>符霞萍</v>
      </c>
      <c r="E3214" s="4" t="str">
        <f t="shared" si="125"/>
        <v>女</v>
      </c>
    </row>
    <row r="3215" spans="1:5" ht="30" customHeight="1">
      <c r="A3215" s="4">
        <v>3213</v>
      </c>
      <c r="B3215" s="4" t="str">
        <f>"39712022060215555285981"</f>
        <v>39712022060215555285981</v>
      </c>
      <c r="C3215" s="4" t="s">
        <v>28</v>
      </c>
      <c r="D3215" s="4" t="str">
        <f>"张樱蓓"</f>
        <v>张樱蓓</v>
      </c>
      <c r="E3215" s="4" t="str">
        <f t="shared" si="125"/>
        <v>女</v>
      </c>
    </row>
    <row r="3216" spans="1:5" ht="30" customHeight="1">
      <c r="A3216" s="4">
        <v>3214</v>
      </c>
      <c r="B3216" s="4" t="str">
        <f>"39712022060215582885993"</f>
        <v>39712022060215582885993</v>
      </c>
      <c r="C3216" s="4" t="s">
        <v>28</v>
      </c>
      <c r="D3216" s="4" t="str">
        <f>"邢妙雨"</f>
        <v>邢妙雨</v>
      </c>
      <c r="E3216" s="4" t="str">
        <f t="shared" si="125"/>
        <v>女</v>
      </c>
    </row>
    <row r="3217" spans="1:5" ht="30" customHeight="1">
      <c r="A3217" s="4">
        <v>3215</v>
      </c>
      <c r="B3217" s="4" t="str">
        <f>"39712022060216030486016"</f>
        <v>39712022060216030486016</v>
      </c>
      <c r="C3217" s="4" t="s">
        <v>28</v>
      </c>
      <c r="D3217" s="4" t="str">
        <f>"杜财俐"</f>
        <v>杜财俐</v>
      </c>
      <c r="E3217" s="4" t="str">
        <f t="shared" si="125"/>
        <v>女</v>
      </c>
    </row>
    <row r="3218" spans="1:5" ht="30" customHeight="1">
      <c r="A3218" s="4">
        <v>3216</v>
      </c>
      <c r="B3218" s="4" t="str">
        <f>"39712022060216033286018"</f>
        <v>39712022060216033286018</v>
      </c>
      <c r="C3218" s="4" t="s">
        <v>28</v>
      </c>
      <c r="D3218" s="4" t="str">
        <f>"王艳"</f>
        <v>王艳</v>
      </c>
      <c r="E3218" s="4" t="str">
        <f t="shared" si="125"/>
        <v>女</v>
      </c>
    </row>
    <row r="3219" spans="1:5" ht="30" customHeight="1">
      <c r="A3219" s="4">
        <v>3217</v>
      </c>
      <c r="B3219" s="4" t="str">
        <f>"39712022060216055086036"</f>
        <v>39712022060216055086036</v>
      </c>
      <c r="C3219" s="4" t="s">
        <v>28</v>
      </c>
      <c r="D3219" s="4" t="str">
        <f>"文莉"</f>
        <v>文莉</v>
      </c>
      <c r="E3219" s="4" t="str">
        <f t="shared" si="125"/>
        <v>女</v>
      </c>
    </row>
    <row r="3220" spans="1:5" ht="30" customHeight="1">
      <c r="A3220" s="4">
        <v>3218</v>
      </c>
      <c r="B3220" s="4" t="str">
        <f>"39712022060216055486037"</f>
        <v>39712022060216055486037</v>
      </c>
      <c r="C3220" s="4" t="s">
        <v>28</v>
      </c>
      <c r="D3220" s="4" t="str">
        <f>"吴雪萍"</f>
        <v>吴雪萍</v>
      </c>
      <c r="E3220" s="4" t="str">
        <f t="shared" si="125"/>
        <v>女</v>
      </c>
    </row>
    <row r="3221" spans="1:5" ht="30" customHeight="1">
      <c r="A3221" s="4">
        <v>3219</v>
      </c>
      <c r="B3221" s="4" t="str">
        <f>"39712022060216090986054"</f>
        <v>39712022060216090986054</v>
      </c>
      <c r="C3221" s="4" t="s">
        <v>28</v>
      </c>
      <c r="D3221" s="4" t="str">
        <f>"吴淑强"</f>
        <v>吴淑强</v>
      </c>
      <c r="E3221" s="4" t="str">
        <f>"男"</f>
        <v>男</v>
      </c>
    </row>
    <row r="3222" spans="1:5" ht="30" customHeight="1">
      <c r="A3222" s="4">
        <v>3220</v>
      </c>
      <c r="B3222" s="4" t="str">
        <f>"39712022060216095586063"</f>
        <v>39712022060216095586063</v>
      </c>
      <c r="C3222" s="4" t="s">
        <v>28</v>
      </c>
      <c r="D3222" s="4" t="str">
        <f>"黄珍"</f>
        <v>黄珍</v>
      </c>
      <c r="E3222" s="4" t="str">
        <f>"女"</f>
        <v>女</v>
      </c>
    </row>
    <row r="3223" spans="1:5" ht="30" customHeight="1">
      <c r="A3223" s="4">
        <v>3221</v>
      </c>
      <c r="B3223" s="4" t="str">
        <f>"39712022060216205886139"</f>
        <v>39712022060216205886139</v>
      </c>
      <c r="C3223" s="4" t="s">
        <v>28</v>
      </c>
      <c r="D3223" s="4" t="str">
        <f>"邢琼敏"</f>
        <v>邢琼敏</v>
      </c>
      <c r="E3223" s="4" t="str">
        <f>"女"</f>
        <v>女</v>
      </c>
    </row>
    <row r="3224" spans="1:5" ht="30" customHeight="1">
      <c r="A3224" s="4">
        <v>3222</v>
      </c>
      <c r="B3224" s="4" t="str">
        <f>"39712022060216224486149"</f>
        <v>39712022060216224486149</v>
      </c>
      <c r="C3224" s="4" t="s">
        <v>28</v>
      </c>
      <c r="D3224" s="4" t="str">
        <f>"韦文娟"</f>
        <v>韦文娟</v>
      </c>
      <c r="E3224" s="4" t="str">
        <f>"女"</f>
        <v>女</v>
      </c>
    </row>
    <row r="3225" spans="1:5" ht="30" customHeight="1">
      <c r="A3225" s="4">
        <v>3223</v>
      </c>
      <c r="B3225" s="4" t="str">
        <f>"39712022060216240586156"</f>
        <v>39712022060216240586156</v>
      </c>
      <c r="C3225" s="4" t="s">
        <v>28</v>
      </c>
      <c r="D3225" s="4" t="str">
        <f>"叶紫佳"</f>
        <v>叶紫佳</v>
      </c>
      <c r="E3225" s="4" t="str">
        <f>"女"</f>
        <v>女</v>
      </c>
    </row>
    <row r="3226" spans="1:5" ht="30" customHeight="1">
      <c r="A3226" s="4">
        <v>3224</v>
      </c>
      <c r="B3226" s="4" t="str">
        <f>"39712022060216291686177"</f>
        <v>39712022060216291686177</v>
      </c>
      <c r="C3226" s="4" t="s">
        <v>28</v>
      </c>
      <c r="D3226" s="4" t="str">
        <f>"李秋妹"</f>
        <v>李秋妹</v>
      </c>
      <c r="E3226" s="4" t="str">
        <f>"女"</f>
        <v>女</v>
      </c>
    </row>
    <row r="3227" spans="1:5" ht="30" customHeight="1">
      <c r="A3227" s="4">
        <v>3225</v>
      </c>
      <c r="B3227" s="4" t="str">
        <f>"39712022060216320286191"</f>
        <v>39712022060216320286191</v>
      </c>
      <c r="C3227" s="4" t="s">
        <v>28</v>
      </c>
      <c r="D3227" s="4" t="str">
        <f>"汤昌弟"</f>
        <v>汤昌弟</v>
      </c>
      <c r="E3227" s="4" t="str">
        <f>"男"</f>
        <v>男</v>
      </c>
    </row>
    <row r="3228" spans="1:5" ht="30" customHeight="1">
      <c r="A3228" s="4">
        <v>3226</v>
      </c>
      <c r="B3228" s="4" t="str">
        <f>"39712022060216373686210"</f>
        <v>39712022060216373686210</v>
      </c>
      <c r="C3228" s="4" t="s">
        <v>28</v>
      </c>
      <c r="D3228" s="4" t="str">
        <f>"张赢天"</f>
        <v>张赢天</v>
      </c>
      <c r="E3228" s="4" t="str">
        <f aca="true" t="shared" si="126" ref="E3228:E3260">"女"</f>
        <v>女</v>
      </c>
    </row>
    <row r="3229" spans="1:5" ht="30" customHeight="1">
      <c r="A3229" s="4">
        <v>3227</v>
      </c>
      <c r="B3229" s="4" t="str">
        <f>"39712022060216473786245"</f>
        <v>39712022060216473786245</v>
      </c>
      <c r="C3229" s="4" t="s">
        <v>28</v>
      </c>
      <c r="D3229" s="4" t="str">
        <f>"王淑英"</f>
        <v>王淑英</v>
      </c>
      <c r="E3229" s="4" t="str">
        <f t="shared" si="126"/>
        <v>女</v>
      </c>
    </row>
    <row r="3230" spans="1:5" ht="30" customHeight="1">
      <c r="A3230" s="4">
        <v>3228</v>
      </c>
      <c r="B3230" s="4" t="str">
        <f>"39712022060216492886259"</f>
        <v>39712022060216492886259</v>
      </c>
      <c r="C3230" s="4" t="s">
        <v>28</v>
      </c>
      <c r="D3230" s="4" t="str">
        <f>"符现音"</f>
        <v>符现音</v>
      </c>
      <c r="E3230" s="4" t="str">
        <f t="shared" si="126"/>
        <v>女</v>
      </c>
    </row>
    <row r="3231" spans="1:5" ht="30" customHeight="1">
      <c r="A3231" s="4">
        <v>3229</v>
      </c>
      <c r="B3231" s="4" t="str">
        <f>"39712022060216503886265"</f>
        <v>39712022060216503886265</v>
      </c>
      <c r="C3231" s="4" t="s">
        <v>28</v>
      </c>
      <c r="D3231" s="4" t="str">
        <f>"陈佳琳"</f>
        <v>陈佳琳</v>
      </c>
      <c r="E3231" s="4" t="str">
        <f t="shared" si="126"/>
        <v>女</v>
      </c>
    </row>
    <row r="3232" spans="1:5" ht="30" customHeight="1">
      <c r="A3232" s="4">
        <v>3230</v>
      </c>
      <c r="B3232" s="4" t="str">
        <f>"39712022060217011186317"</f>
        <v>39712022060217011186317</v>
      </c>
      <c r="C3232" s="4" t="s">
        <v>28</v>
      </c>
      <c r="D3232" s="4" t="str">
        <f>"卢定婉"</f>
        <v>卢定婉</v>
      </c>
      <c r="E3232" s="4" t="str">
        <f t="shared" si="126"/>
        <v>女</v>
      </c>
    </row>
    <row r="3233" spans="1:5" ht="30" customHeight="1">
      <c r="A3233" s="4">
        <v>3231</v>
      </c>
      <c r="B3233" s="4" t="str">
        <f>"39712022060217043486331"</f>
        <v>39712022060217043486331</v>
      </c>
      <c r="C3233" s="4" t="s">
        <v>28</v>
      </c>
      <c r="D3233" s="4" t="str">
        <f>"王铮钰"</f>
        <v>王铮钰</v>
      </c>
      <c r="E3233" s="4" t="str">
        <f t="shared" si="126"/>
        <v>女</v>
      </c>
    </row>
    <row r="3234" spans="1:5" ht="30" customHeight="1">
      <c r="A3234" s="4">
        <v>3232</v>
      </c>
      <c r="B3234" s="4" t="str">
        <f>"39712022060217083586354"</f>
        <v>39712022060217083586354</v>
      </c>
      <c r="C3234" s="4" t="s">
        <v>28</v>
      </c>
      <c r="D3234" s="4" t="str">
        <f>"李亚丽"</f>
        <v>李亚丽</v>
      </c>
      <c r="E3234" s="4" t="str">
        <f t="shared" si="126"/>
        <v>女</v>
      </c>
    </row>
    <row r="3235" spans="1:5" ht="30" customHeight="1">
      <c r="A3235" s="4">
        <v>3233</v>
      </c>
      <c r="B3235" s="4" t="str">
        <f>"39712022060217103586363"</f>
        <v>39712022060217103586363</v>
      </c>
      <c r="C3235" s="4" t="s">
        <v>28</v>
      </c>
      <c r="D3235" s="4" t="str">
        <f>"云彩艳"</f>
        <v>云彩艳</v>
      </c>
      <c r="E3235" s="4" t="str">
        <f t="shared" si="126"/>
        <v>女</v>
      </c>
    </row>
    <row r="3236" spans="1:5" ht="30" customHeight="1">
      <c r="A3236" s="4">
        <v>3234</v>
      </c>
      <c r="B3236" s="4" t="str">
        <f>"39712022060217131286378"</f>
        <v>39712022060217131286378</v>
      </c>
      <c r="C3236" s="4" t="s">
        <v>28</v>
      </c>
      <c r="D3236" s="4" t="str">
        <f>"吴泳莉"</f>
        <v>吴泳莉</v>
      </c>
      <c r="E3236" s="4" t="str">
        <f t="shared" si="126"/>
        <v>女</v>
      </c>
    </row>
    <row r="3237" spans="1:5" ht="30" customHeight="1">
      <c r="A3237" s="4">
        <v>3235</v>
      </c>
      <c r="B3237" s="4" t="str">
        <f>"39712022060217165686394"</f>
        <v>39712022060217165686394</v>
      </c>
      <c r="C3237" s="4" t="s">
        <v>28</v>
      </c>
      <c r="D3237" s="4" t="str">
        <f>"张曼"</f>
        <v>张曼</v>
      </c>
      <c r="E3237" s="4" t="str">
        <f t="shared" si="126"/>
        <v>女</v>
      </c>
    </row>
    <row r="3238" spans="1:5" ht="30" customHeight="1">
      <c r="A3238" s="4">
        <v>3236</v>
      </c>
      <c r="B3238" s="4" t="str">
        <f>"39712022060217175686400"</f>
        <v>39712022060217175686400</v>
      </c>
      <c r="C3238" s="4" t="s">
        <v>28</v>
      </c>
      <c r="D3238" s="4" t="str">
        <f>"郑惠丹"</f>
        <v>郑惠丹</v>
      </c>
      <c r="E3238" s="4" t="str">
        <f t="shared" si="126"/>
        <v>女</v>
      </c>
    </row>
    <row r="3239" spans="1:5" ht="30" customHeight="1">
      <c r="A3239" s="4">
        <v>3237</v>
      </c>
      <c r="B3239" s="4" t="str">
        <f>"39712022060217190086401"</f>
        <v>39712022060217190086401</v>
      </c>
      <c r="C3239" s="4" t="s">
        <v>28</v>
      </c>
      <c r="D3239" s="4" t="str">
        <f>"陈雪"</f>
        <v>陈雪</v>
      </c>
      <c r="E3239" s="4" t="str">
        <f t="shared" si="126"/>
        <v>女</v>
      </c>
    </row>
    <row r="3240" spans="1:5" ht="30" customHeight="1">
      <c r="A3240" s="4">
        <v>3238</v>
      </c>
      <c r="B3240" s="4" t="str">
        <f>"39712022060217193286405"</f>
        <v>39712022060217193286405</v>
      </c>
      <c r="C3240" s="4" t="s">
        <v>28</v>
      </c>
      <c r="D3240" s="4" t="str">
        <f>"王来凤"</f>
        <v>王来凤</v>
      </c>
      <c r="E3240" s="4" t="str">
        <f t="shared" si="126"/>
        <v>女</v>
      </c>
    </row>
    <row r="3241" spans="1:5" ht="30" customHeight="1">
      <c r="A3241" s="4">
        <v>3239</v>
      </c>
      <c r="B3241" s="4" t="str">
        <f>"39712022060217341686465"</f>
        <v>39712022060217341686465</v>
      </c>
      <c r="C3241" s="4" t="s">
        <v>28</v>
      </c>
      <c r="D3241" s="4" t="str">
        <f>"莫雯渊"</f>
        <v>莫雯渊</v>
      </c>
      <c r="E3241" s="4" t="str">
        <f t="shared" si="126"/>
        <v>女</v>
      </c>
    </row>
    <row r="3242" spans="1:5" ht="30" customHeight="1">
      <c r="A3242" s="4">
        <v>3240</v>
      </c>
      <c r="B3242" s="4" t="str">
        <f>"39712022060217343786468"</f>
        <v>39712022060217343786468</v>
      </c>
      <c r="C3242" s="4" t="s">
        <v>28</v>
      </c>
      <c r="D3242" s="4" t="str">
        <f>"符玉湘"</f>
        <v>符玉湘</v>
      </c>
      <c r="E3242" s="4" t="str">
        <f t="shared" si="126"/>
        <v>女</v>
      </c>
    </row>
    <row r="3243" spans="1:5" ht="30" customHeight="1">
      <c r="A3243" s="4">
        <v>3241</v>
      </c>
      <c r="B3243" s="4" t="str">
        <f>"39712022060217380186483"</f>
        <v>39712022060217380186483</v>
      </c>
      <c r="C3243" s="4" t="s">
        <v>28</v>
      </c>
      <c r="D3243" s="4" t="str">
        <f>"劳海丽"</f>
        <v>劳海丽</v>
      </c>
      <c r="E3243" s="4" t="str">
        <f t="shared" si="126"/>
        <v>女</v>
      </c>
    </row>
    <row r="3244" spans="1:5" ht="30" customHeight="1">
      <c r="A3244" s="4">
        <v>3242</v>
      </c>
      <c r="B3244" s="4" t="str">
        <f>"39712022060217452786518"</f>
        <v>39712022060217452786518</v>
      </c>
      <c r="C3244" s="4" t="s">
        <v>28</v>
      </c>
      <c r="D3244" s="4" t="str">
        <f>"吴惠丽"</f>
        <v>吴惠丽</v>
      </c>
      <c r="E3244" s="4" t="str">
        <f t="shared" si="126"/>
        <v>女</v>
      </c>
    </row>
    <row r="3245" spans="1:5" ht="30" customHeight="1">
      <c r="A3245" s="4">
        <v>3243</v>
      </c>
      <c r="B3245" s="4" t="str">
        <f>"39712022060217532186545"</f>
        <v>39712022060217532186545</v>
      </c>
      <c r="C3245" s="4" t="s">
        <v>28</v>
      </c>
      <c r="D3245" s="4" t="str">
        <f>"吴露婷"</f>
        <v>吴露婷</v>
      </c>
      <c r="E3245" s="4" t="str">
        <f t="shared" si="126"/>
        <v>女</v>
      </c>
    </row>
    <row r="3246" spans="1:5" ht="30" customHeight="1">
      <c r="A3246" s="4">
        <v>3244</v>
      </c>
      <c r="B3246" s="4" t="str">
        <f>"39712022060217563486560"</f>
        <v>39712022060217563486560</v>
      </c>
      <c r="C3246" s="4" t="s">
        <v>28</v>
      </c>
      <c r="D3246" s="4" t="str">
        <f>"王日珠"</f>
        <v>王日珠</v>
      </c>
      <c r="E3246" s="4" t="str">
        <f t="shared" si="126"/>
        <v>女</v>
      </c>
    </row>
    <row r="3247" spans="1:5" ht="30" customHeight="1">
      <c r="A3247" s="4">
        <v>3245</v>
      </c>
      <c r="B3247" s="4" t="str">
        <f>"39712022060217575086567"</f>
        <v>39712022060217575086567</v>
      </c>
      <c r="C3247" s="4" t="s">
        <v>28</v>
      </c>
      <c r="D3247" s="4" t="str">
        <f>"陈欣"</f>
        <v>陈欣</v>
      </c>
      <c r="E3247" s="4" t="str">
        <f t="shared" si="126"/>
        <v>女</v>
      </c>
    </row>
    <row r="3248" spans="1:5" ht="30" customHeight="1">
      <c r="A3248" s="4">
        <v>3246</v>
      </c>
      <c r="B3248" s="4" t="str">
        <f>"39712022060218050286593"</f>
        <v>39712022060218050286593</v>
      </c>
      <c r="C3248" s="4" t="s">
        <v>28</v>
      </c>
      <c r="D3248" s="4" t="str">
        <f>"冯欣雅"</f>
        <v>冯欣雅</v>
      </c>
      <c r="E3248" s="4" t="str">
        <f t="shared" si="126"/>
        <v>女</v>
      </c>
    </row>
    <row r="3249" spans="1:5" ht="30" customHeight="1">
      <c r="A3249" s="4">
        <v>3247</v>
      </c>
      <c r="B3249" s="4" t="str">
        <f>"39712022060218064586601"</f>
        <v>39712022060218064586601</v>
      </c>
      <c r="C3249" s="4" t="s">
        <v>28</v>
      </c>
      <c r="D3249" s="4" t="str">
        <f>"张小晶"</f>
        <v>张小晶</v>
      </c>
      <c r="E3249" s="4" t="str">
        <f t="shared" si="126"/>
        <v>女</v>
      </c>
    </row>
    <row r="3250" spans="1:5" ht="30" customHeight="1">
      <c r="A3250" s="4">
        <v>3248</v>
      </c>
      <c r="B3250" s="4" t="str">
        <f>"39712022060218075986611"</f>
        <v>39712022060218075986611</v>
      </c>
      <c r="C3250" s="4" t="s">
        <v>28</v>
      </c>
      <c r="D3250" s="4" t="str">
        <f>"林亚丽"</f>
        <v>林亚丽</v>
      </c>
      <c r="E3250" s="4" t="str">
        <f t="shared" si="126"/>
        <v>女</v>
      </c>
    </row>
    <row r="3251" spans="1:5" ht="30" customHeight="1">
      <c r="A3251" s="4">
        <v>3249</v>
      </c>
      <c r="B3251" s="4" t="str">
        <f>"39712022060218273386666"</f>
        <v>39712022060218273386666</v>
      </c>
      <c r="C3251" s="4" t="s">
        <v>28</v>
      </c>
      <c r="D3251" s="4" t="str">
        <f>"何海珊"</f>
        <v>何海珊</v>
      </c>
      <c r="E3251" s="4" t="str">
        <f t="shared" si="126"/>
        <v>女</v>
      </c>
    </row>
    <row r="3252" spans="1:5" ht="30" customHeight="1">
      <c r="A3252" s="4">
        <v>3250</v>
      </c>
      <c r="B3252" s="4" t="str">
        <f>"39712022060218280986669"</f>
        <v>39712022060218280986669</v>
      </c>
      <c r="C3252" s="4" t="s">
        <v>28</v>
      </c>
      <c r="D3252" s="4" t="str">
        <f>"钟琼君"</f>
        <v>钟琼君</v>
      </c>
      <c r="E3252" s="4" t="str">
        <f t="shared" si="126"/>
        <v>女</v>
      </c>
    </row>
    <row r="3253" spans="1:5" ht="30" customHeight="1">
      <c r="A3253" s="4">
        <v>3251</v>
      </c>
      <c r="B3253" s="4" t="str">
        <f>"39712022060218315586675"</f>
        <v>39712022060218315586675</v>
      </c>
      <c r="C3253" s="4" t="s">
        <v>28</v>
      </c>
      <c r="D3253" s="4" t="str">
        <f>"林淀"</f>
        <v>林淀</v>
      </c>
      <c r="E3253" s="4" t="str">
        <f t="shared" si="126"/>
        <v>女</v>
      </c>
    </row>
    <row r="3254" spans="1:5" ht="30" customHeight="1">
      <c r="A3254" s="4">
        <v>3252</v>
      </c>
      <c r="B3254" s="4" t="str">
        <f>"39712022060218345986685"</f>
        <v>39712022060218345986685</v>
      </c>
      <c r="C3254" s="4" t="s">
        <v>28</v>
      </c>
      <c r="D3254" s="4" t="str">
        <f>"林喜"</f>
        <v>林喜</v>
      </c>
      <c r="E3254" s="4" t="str">
        <f t="shared" si="126"/>
        <v>女</v>
      </c>
    </row>
    <row r="3255" spans="1:5" ht="30" customHeight="1">
      <c r="A3255" s="4">
        <v>3253</v>
      </c>
      <c r="B3255" s="4" t="str">
        <f>"39712022060218380586696"</f>
        <v>39712022060218380586696</v>
      </c>
      <c r="C3255" s="4" t="s">
        <v>28</v>
      </c>
      <c r="D3255" s="4" t="str">
        <f>"陈虹妃"</f>
        <v>陈虹妃</v>
      </c>
      <c r="E3255" s="4" t="str">
        <f t="shared" si="126"/>
        <v>女</v>
      </c>
    </row>
    <row r="3256" spans="1:5" ht="30" customHeight="1">
      <c r="A3256" s="4">
        <v>3254</v>
      </c>
      <c r="B3256" s="4" t="str">
        <f>"39712022060218384186701"</f>
        <v>39712022060218384186701</v>
      </c>
      <c r="C3256" s="4" t="s">
        <v>28</v>
      </c>
      <c r="D3256" s="4" t="str">
        <f>"唐明怡"</f>
        <v>唐明怡</v>
      </c>
      <c r="E3256" s="4" t="str">
        <f t="shared" si="126"/>
        <v>女</v>
      </c>
    </row>
    <row r="3257" spans="1:5" ht="30" customHeight="1">
      <c r="A3257" s="4">
        <v>3255</v>
      </c>
      <c r="B3257" s="4" t="str">
        <f>"39712022060218573986753"</f>
        <v>39712022060218573986753</v>
      </c>
      <c r="C3257" s="4" t="s">
        <v>28</v>
      </c>
      <c r="D3257" s="4" t="str">
        <f>"王颖丹"</f>
        <v>王颖丹</v>
      </c>
      <c r="E3257" s="4" t="str">
        <f t="shared" si="126"/>
        <v>女</v>
      </c>
    </row>
    <row r="3258" spans="1:5" ht="30" customHeight="1">
      <c r="A3258" s="4">
        <v>3256</v>
      </c>
      <c r="B3258" s="4" t="str">
        <f>"39712022060218595086762"</f>
        <v>39712022060218595086762</v>
      </c>
      <c r="C3258" s="4" t="s">
        <v>28</v>
      </c>
      <c r="D3258" s="4" t="str">
        <f>"卢周莹"</f>
        <v>卢周莹</v>
      </c>
      <c r="E3258" s="4" t="str">
        <f t="shared" si="126"/>
        <v>女</v>
      </c>
    </row>
    <row r="3259" spans="1:5" ht="30" customHeight="1">
      <c r="A3259" s="4">
        <v>3257</v>
      </c>
      <c r="B3259" s="4" t="str">
        <f>"39712022060219000886763"</f>
        <v>39712022060219000886763</v>
      </c>
      <c r="C3259" s="4" t="s">
        <v>28</v>
      </c>
      <c r="D3259" s="4" t="str">
        <f>"王丽"</f>
        <v>王丽</v>
      </c>
      <c r="E3259" s="4" t="str">
        <f t="shared" si="126"/>
        <v>女</v>
      </c>
    </row>
    <row r="3260" spans="1:5" ht="30" customHeight="1">
      <c r="A3260" s="4">
        <v>3258</v>
      </c>
      <c r="B3260" s="4" t="str">
        <f>"39712022060219070286782"</f>
        <v>39712022060219070286782</v>
      </c>
      <c r="C3260" s="4" t="s">
        <v>28</v>
      </c>
      <c r="D3260" s="4" t="str">
        <f>"唐婉"</f>
        <v>唐婉</v>
      </c>
      <c r="E3260" s="4" t="str">
        <f t="shared" si="126"/>
        <v>女</v>
      </c>
    </row>
    <row r="3261" spans="1:5" ht="30" customHeight="1">
      <c r="A3261" s="4">
        <v>3259</v>
      </c>
      <c r="B3261" s="4" t="str">
        <f>"39712022060219140286798"</f>
        <v>39712022060219140286798</v>
      </c>
      <c r="C3261" s="4" t="s">
        <v>28</v>
      </c>
      <c r="D3261" s="4" t="str">
        <f>"李宇诚"</f>
        <v>李宇诚</v>
      </c>
      <c r="E3261" s="4" t="str">
        <f>"男"</f>
        <v>男</v>
      </c>
    </row>
    <row r="3262" spans="1:5" ht="30" customHeight="1">
      <c r="A3262" s="4">
        <v>3260</v>
      </c>
      <c r="B3262" s="4" t="str">
        <f>"39712022060219185686816"</f>
        <v>39712022060219185686816</v>
      </c>
      <c r="C3262" s="4" t="s">
        <v>28</v>
      </c>
      <c r="D3262" s="4" t="str">
        <f>"李秋盈"</f>
        <v>李秋盈</v>
      </c>
      <c r="E3262" s="4" t="str">
        <f aca="true" t="shared" si="127" ref="E3262:E3277">"女"</f>
        <v>女</v>
      </c>
    </row>
    <row r="3263" spans="1:5" ht="30" customHeight="1">
      <c r="A3263" s="4">
        <v>3261</v>
      </c>
      <c r="B3263" s="4" t="str">
        <f>"39712022060219212286820"</f>
        <v>39712022060219212286820</v>
      </c>
      <c r="C3263" s="4" t="s">
        <v>28</v>
      </c>
      <c r="D3263" s="4" t="str">
        <f>"唐艺"</f>
        <v>唐艺</v>
      </c>
      <c r="E3263" s="4" t="str">
        <f t="shared" si="127"/>
        <v>女</v>
      </c>
    </row>
    <row r="3264" spans="1:5" ht="30" customHeight="1">
      <c r="A3264" s="4">
        <v>3262</v>
      </c>
      <c r="B3264" s="4" t="str">
        <f>"39712022060219281486838"</f>
        <v>39712022060219281486838</v>
      </c>
      <c r="C3264" s="4" t="s">
        <v>28</v>
      </c>
      <c r="D3264" s="4" t="str">
        <f>"苏兰花"</f>
        <v>苏兰花</v>
      </c>
      <c r="E3264" s="4" t="str">
        <f t="shared" si="127"/>
        <v>女</v>
      </c>
    </row>
    <row r="3265" spans="1:5" ht="30" customHeight="1">
      <c r="A3265" s="4">
        <v>3263</v>
      </c>
      <c r="B3265" s="4" t="str">
        <f>"39712022060219302586843"</f>
        <v>39712022060219302586843</v>
      </c>
      <c r="C3265" s="4" t="s">
        <v>28</v>
      </c>
      <c r="D3265" s="4" t="str">
        <f>"王智芳"</f>
        <v>王智芳</v>
      </c>
      <c r="E3265" s="4" t="str">
        <f t="shared" si="127"/>
        <v>女</v>
      </c>
    </row>
    <row r="3266" spans="1:5" ht="30" customHeight="1">
      <c r="A3266" s="4">
        <v>3264</v>
      </c>
      <c r="B3266" s="4" t="str">
        <f>"39712022060219313986849"</f>
        <v>39712022060219313986849</v>
      </c>
      <c r="C3266" s="4" t="s">
        <v>28</v>
      </c>
      <c r="D3266" s="4" t="str">
        <f>"符丽文"</f>
        <v>符丽文</v>
      </c>
      <c r="E3266" s="4" t="str">
        <f t="shared" si="127"/>
        <v>女</v>
      </c>
    </row>
    <row r="3267" spans="1:5" ht="30" customHeight="1">
      <c r="A3267" s="4">
        <v>3265</v>
      </c>
      <c r="B3267" s="4" t="str">
        <f>"39712022060219340686859"</f>
        <v>39712022060219340686859</v>
      </c>
      <c r="C3267" s="4" t="s">
        <v>28</v>
      </c>
      <c r="D3267" s="4" t="str">
        <f>"陈娴晶"</f>
        <v>陈娴晶</v>
      </c>
      <c r="E3267" s="4" t="str">
        <f t="shared" si="127"/>
        <v>女</v>
      </c>
    </row>
    <row r="3268" spans="1:5" ht="30" customHeight="1">
      <c r="A3268" s="4">
        <v>3266</v>
      </c>
      <c r="B3268" s="4" t="str">
        <f>"39712022060219351886865"</f>
        <v>39712022060219351886865</v>
      </c>
      <c r="C3268" s="4" t="s">
        <v>28</v>
      </c>
      <c r="D3268" s="4" t="str">
        <f>"赵宸萱"</f>
        <v>赵宸萱</v>
      </c>
      <c r="E3268" s="4" t="str">
        <f t="shared" si="127"/>
        <v>女</v>
      </c>
    </row>
    <row r="3269" spans="1:5" ht="30" customHeight="1">
      <c r="A3269" s="4">
        <v>3267</v>
      </c>
      <c r="B3269" s="4" t="str">
        <f>"39712022060219360486868"</f>
        <v>39712022060219360486868</v>
      </c>
      <c r="C3269" s="4" t="s">
        <v>28</v>
      </c>
      <c r="D3269" s="4" t="str">
        <f>"吴碧云"</f>
        <v>吴碧云</v>
      </c>
      <c r="E3269" s="4" t="str">
        <f t="shared" si="127"/>
        <v>女</v>
      </c>
    </row>
    <row r="3270" spans="1:5" ht="30" customHeight="1">
      <c r="A3270" s="4">
        <v>3268</v>
      </c>
      <c r="B3270" s="4" t="str">
        <f>"39712022060219362486871"</f>
        <v>39712022060219362486871</v>
      </c>
      <c r="C3270" s="4" t="s">
        <v>28</v>
      </c>
      <c r="D3270" s="4" t="str">
        <f>"陈颜钰"</f>
        <v>陈颜钰</v>
      </c>
      <c r="E3270" s="4" t="str">
        <f t="shared" si="127"/>
        <v>女</v>
      </c>
    </row>
    <row r="3271" spans="1:5" ht="30" customHeight="1">
      <c r="A3271" s="4">
        <v>3269</v>
      </c>
      <c r="B3271" s="4" t="str">
        <f>"39712022060219454786897"</f>
        <v>39712022060219454786897</v>
      </c>
      <c r="C3271" s="4" t="s">
        <v>28</v>
      </c>
      <c r="D3271" s="4" t="str">
        <f>"史超雅"</f>
        <v>史超雅</v>
      </c>
      <c r="E3271" s="4" t="str">
        <f t="shared" si="127"/>
        <v>女</v>
      </c>
    </row>
    <row r="3272" spans="1:5" ht="30" customHeight="1">
      <c r="A3272" s="4">
        <v>3270</v>
      </c>
      <c r="B3272" s="4" t="str">
        <f>"39712022060219455186898"</f>
        <v>39712022060219455186898</v>
      </c>
      <c r="C3272" s="4" t="s">
        <v>28</v>
      </c>
      <c r="D3272" s="4" t="str">
        <f>"符祯"</f>
        <v>符祯</v>
      </c>
      <c r="E3272" s="4" t="str">
        <f t="shared" si="127"/>
        <v>女</v>
      </c>
    </row>
    <row r="3273" spans="1:5" ht="30" customHeight="1">
      <c r="A3273" s="4">
        <v>3271</v>
      </c>
      <c r="B3273" s="4" t="str">
        <f>"39712022060219474886902"</f>
        <v>39712022060219474886902</v>
      </c>
      <c r="C3273" s="4" t="s">
        <v>28</v>
      </c>
      <c r="D3273" s="4" t="str">
        <f>"陈曦"</f>
        <v>陈曦</v>
      </c>
      <c r="E3273" s="4" t="str">
        <f t="shared" si="127"/>
        <v>女</v>
      </c>
    </row>
    <row r="3274" spans="1:5" ht="30" customHeight="1">
      <c r="A3274" s="4">
        <v>3272</v>
      </c>
      <c r="B3274" s="4" t="str">
        <f>"39712022060219521386912"</f>
        <v>39712022060219521386912</v>
      </c>
      <c r="C3274" s="4" t="s">
        <v>28</v>
      </c>
      <c r="D3274" s="4" t="str">
        <f>"赖彦羽"</f>
        <v>赖彦羽</v>
      </c>
      <c r="E3274" s="4" t="str">
        <f t="shared" si="127"/>
        <v>女</v>
      </c>
    </row>
    <row r="3275" spans="1:5" ht="30" customHeight="1">
      <c r="A3275" s="4">
        <v>3273</v>
      </c>
      <c r="B3275" s="4" t="str">
        <f>"39712022060219544986918"</f>
        <v>39712022060219544986918</v>
      </c>
      <c r="C3275" s="4" t="s">
        <v>28</v>
      </c>
      <c r="D3275" s="4" t="str">
        <f>"李彩虹"</f>
        <v>李彩虹</v>
      </c>
      <c r="E3275" s="4" t="str">
        <f t="shared" si="127"/>
        <v>女</v>
      </c>
    </row>
    <row r="3276" spans="1:5" ht="30" customHeight="1">
      <c r="A3276" s="4">
        <v>3274</v>
      </c>
      <c r="B3276" s="4" t="str">
        <f>"39712022060219584586927"</f>
        <v>39712022060219584586927</v>
      </c>
      <c r="C3276" s="4" t="s">
        <v>28</v>
      </c>
      <c r="D3276" s="4" t="str">
        <f>"林玟君"</f>
        <v>林玟君</v>
      </c>
      <c r="E3276" s="4" t="str">
        <f t="shared" si="127"/>
        <v>女</v>
      </c>
    </row>
    <row r="3277" spans="1:5" ht="30" customHeight="1">
      <c r="A3277" s="4">
        <v>3275</v>
      </c>
      <c r="B3277" s="4" t="str">
        <f>"39712022060219585386928"</f>
        <v>39712022060219585386928</v>
      </c>
      <c r="C3277" s="4" t="s">
        <v>28</v>
      </c>
      <c r="D3277" s="4" t="str">
        <f>"袁思思"</f>
        <v>袁思思</v>
      </c>
      <c r="E3277" s="4" t="str">
        <f t="shared" si="127"/>
        <v>女</v>
      </c>
    </row>
    <row r="3278" spans="1:5" ht="30" customHeight="1">
      <c r="A3278" s="4">
        <v>3276</v>
      </c>
      <c r="B3278" s="4" t="str">
        <f>"39712022060220062386947"</f>
        <v>39712022060220062386947</v>
      </c>
      <c r="C3278" s="4" t="s">
        <v>28</v>
      </c>
      <c r="D3278" s="4" t="str">
        <f>"唐世锐"</f>
        <v>唐世锐</v>
      </c>
      <c r="E3278" s="4" t="str">
        <f>"男"</f>
        <v>男</v>
      </c>
    </row>
    <row r="3279" spans="1:5" ht="30" customHeight="1">
      <c r="A3279" s="4">
        <v>3277</v>
      </c>
      <c r="B3279" s="4" t="str">
        <f>"39712022060220111286957"</f>
        <v>39712022060220111286957</v>
      </c>
      <c r="C3279" s="4" t="s">
        <v>28</v>
      </c>
      <c r="D3279" s="4" t="str">
        <f>"王晶"</f>
        <v>王晶</v>
      </c>
      <c r="E3279" s="4" t="str">
        <f aca="true" t="shared" si="128" ref="E3279:E3287">"女"</f>
        <v>女</v>
      </c>
    </row>
    <row r="3280" spans="1:5" ht="30" customHeight="1">
      <c r="A3280" s="4">
        <v>3278</v>
      </c>
      <c r="B3280" s="4" t="str">
        <f>"39712022060220205886980"</f>
        <v>39712022060220205886980</v>
      </c>
      <c r="C3280" s="4" t="s">
        <v>28</v>
      </c>
      <c r="D3280" s="4" t="str">
        <f>"梁嘉持"</f>
        <v>梁嘉持</v>
      </c>
      <c r="E3280" s="4" t="str">
        <f t="shared" si="128"/>
        <v>女</v>
      </c>
    </row>
    <row r="3281" spans="1:5" ht="30" customHeight="1">
      <c r="A3281" s="4">
        <v>3279</v>
      </c>
      <c r="B3281" s="4" t="str">
        <f>"39712022060220252186989"</f>
        <v>39712022060220252186989</v>
      </c>
      <c r="C3281" s="4" t="s">
        <v>28</v>
      </c>
      <c r="D3281" s="4" t="str">
        <f>"王丽菊"</f>
        <v>王丽菊</v>
      </c>
      <c r="E3281" s="4" t="str">
        <f t="shared" si="128"/>
        <v>女</v>
      </c>
    </row>
    <row r="3282" spans="1:5" ht="30" customHeight="1">
      <c r="A3282" s="4">
        <v>3280</v>
      </c>
      <c r="B3282" s="4" t="str">
        <f>"39712022060220261586992"</f>
        <v>39712022060220261586992</v>
      </c>
      <c r="C3282" s="4" t="s">
        <v>28</v>
      </c>
      <c r="D3282" s="4" t="str">
        <f>"何春玲"</f>
        <v>何春玲</v>
      </c>
      <c r="E3282" s="4" t="str">
        <f t="shared" si="128"/>
        <v>女</v>
      </c>
    </row>
    <row r="3283" spans="1:5" ht="30" customHeight="1">
      <c r="A3283" s="4">
        <v>3281</v>
      </c>
      <c r="B3283" s="4" t="str">
        <f>"39712022060220293587003"</f>
        <v>39712022060220293587003</v>
      </c>
      <c r="C3283" s="4" t="s">
        <v>28</v>
      </c>
      <c r="D3283" s="4" t="str">
        <f>"黄良琴"</f>
        <v>黄良琴</v>
      </c>
      <c r="E3283" s="4" t="str">
        <f t="shared" si="128"/>
        <v>女</v>
      </c>
    </row>
    <row r="3284" spans="1:5" ht="30" customHeight="1">
      <c r="A3284" s="4">
        <v>3282</v>
      </c>
      <c r="B3284" s="4" t="str">
        <f>"39712022060220361387020"</f>
        <v>39712022060220361387020</v>
      </c>
      <c r="C3284" s="4" t="s">
        <v>28</v>
      </c>
      <c r="D3284" s="4" t="str">
        <f>"黄嘉琪"</f>
        <v>黄嘉琪</v>
      </c>
      <c r="E3284" s="4" t="str">
        <f t="shared" si="128"/>
        <v>女</v>
      </c>
    </row>
    <row r="3285" spans="1:5" ht="30" customHeight="1">
      <c r="A3285" s="4">
        <v>3283</v>
      </c>
      <c r="B3285" s="4" t="str">
        <f>"39712022060220372187026"</f>
        <v>39712022060220372187026</v>
      </c>
      <c r="C3285" s="4" t="s">
        <v>28</v>
      </c>
      <c r="D3285" s="4" t="str">
        <f>"詹楚滢"</f>
        <v>詹楚滢</v>
      </c>
      <c r="E3285" s="4" t="str">
        <f t="shared" si="128"/>
        <v>女</v>
      </c>
    </row>
    <row r="3286" spans="1:5" ht="30" customHeight="1">
      <c r="A3286" s="4">
        <v>3284</v>
      </c>
      <c r="B3286" s="4" t="str">
        <f>"39712022060220425687042"</f>
        <v>39712022060220425687042</v>
      </c>
      <c r="C3286" s="4" t="s">
        <v>28</v>
      </c>
      <c r="D3286" s="4" t="str">
        <f>"林晓婷"</f>
        <v>林晓婷</v>
      </c>
      <c r="E3286" s="4" t="str">
        <f t="shared" si="128"/>
        <v>女</v>
      </c>
    </row>
    <row r="3287" spans="1:5" ht="30" customHeight="1">
      <c r="A3287" s="4">
        <v>3285</v>
      </c>
      <c r="B3287" s="4" t="str">
        <f>"39712022060220461787054"</f>
        <v>39712022060220461787054</v>
      </c>
      <c r="C3287" s="4" t="s">
        <v>28</v>
      </c>
      <c r="D3287" s="4" t="str">
        <f>"曾晶"</f>
        <v>曾晶</v>
      </c>
      <c r="E3287" s="4" t="str">
        <f t="shared" si="128"/>
        <v>女</v>
      </c>
    </row>
    <row r="3288" spans="1:5" ht="30" customHeight="1">
      <c r="A3288" s="4">
        <v>3286</v>
      </c>
      <c r="B3288" s="4" t="str">
        <f>"39712022060220465287056"</f>
        <v>39712022060220465287056</v>
      </c>
      <c r="C3288" s="4" t="s">
        <v>28</v>
      </c>
      <c r="D3288" s="4" t="str">
        <f>"刘家伟"</f>
        <v>刘家伟</v>
      </c>
      <c r="E3288" s="4" t="str">
        <f>"男"</f>
        <v>男</v>
      </c>
    </row>
    <row r="3289" spans="1:5" ht="30" customHeight="1">
      <c r="A3289" s="4">
        <v>3287</v>
      </c>
      <c r="B3289" s="4" t="str">
        <f>"39712022060220470887057"</f>
        <v>39712022060220470887057</v>
      </c>
      <c r="C3289" s="4" t="s">
        <v>28</v>
      </c>
      <c r="D3289" s="4" t="str">
        <f>"符彩秀"</f>
        <v>符彩秀</v>
      </c>
      <c r="E3289" s="4" t="str">
        <f aca="true" t="shared" si="129" ref="E3289:E3309">"女"</f>
        <v>女</v>
      </c>
    </row>
    <row r="3290" spans="1:5" ht="30" customHeight="1">
      <c r="A3290" s="4">
        <v>3288</v>
      </c>
      <c r="B3290" s="4" t="str">
        <f>"39712022060220471987058"</f>
        <v>39712022060220471987058</v>
      </c>
      <c r="C3290" s="4" t="s">
        <v>28</v>
      </c>
      <c r="D3290" s="4" t="str">
        <f>"吴海容"</f>
        <v>吴海容</v>
      </c>
      <c r="E3290" s="4" t="str">
        <f t="shared" si="129"/>
        <v>女</v>
      </c>
    </row>
    <row r="3291" spans="1:5" ht="30" customHeight="1">
      <c r="A3291" s="4">
        <v>3289</v>
      </c>
      <c r="B3291" s="4" t="str">
        <f>"39712022060220481887061"</f>
        <v>39712022060220481887061</v>
      </c>
      <c r="C3291" s="4" t="s">
        <v>28</v>
      </c>
      <c r="D3291" s="4" t="str">
        <f>"陈吉银"</f>
        <v>陈吉银</v>
      </c>
      <c r="E3291" s="4" t="str">
        <f t="shared" si="129"/>
        <v>女</v>
      </c>
    </row>
    <row r="3292" spans="1:5" ht="30" customHeight="1">
      <c r="A3292" s="4">
        <v>3290</v>
      </c>
      <c r="B3292" s="4" t="str">
        <f>"39712022060220511787074"</f>
        <v>39712022060220511787074</v>
      </c>
      <c r="C3292" s="4" t="s">
        <v>28</v>
      </c>
      <c r="D3292" s="4" t="str">
        <f>"林娇艳"</f>
        <v>林娇艳</v>
      </c>
      <c r="E3292" s="4" t="str">
        <f t="shared" si="129"/>
        <v>女</v>
      </c>
    </row>
    <row r="3293" spans="1:5" ht="30" customHeight="1">
      <c r="A3293" s="4">
        <v>3291</v>
      </c>
      <c r="B3293" s="4" t="str">
        <f>"39712022060220562487089"</f>
        <v>39712022060220562487089</v>
      </c>
      <c r="C3293" s="4" t="s">
        <v>28</v>
      </c>
      <c r="D3293" s="4" t="str">
        <f>"周艳红"</f>
        <v>周艳红</v>
      </c>
      <c r="E3293" s="4" t="str">
        <f t="shared" si="129"/>
        <v>女</v>
      </c>
    </row>
    <row r="3294" spans="1:5" ht="30" customHeight="1">
      <c r="A3294" s="4">
        <v>3292</v>
      </c>
      <c r="B3294" s="4" t="str">
        <f>"39712022060220562887090"</f>
        <v>39712022060220562887090</v>
      </c>
      <c r="C3294" s="4" t="s">
        <v>28</v>
      </c>
      <c r="D3294" s="4" t="str">
        <f>"秦超"</f>
        <v>秦超</v>
      </c>
      <c r="E3294" s="4" t="str">
        <f t="shared" si="129"/>
        <v>女</v>
      </c>
    </row>
    <row r="3295" spans="1:5" ht="30" customHeight="1">
      <c r="A3295" s="4">
        <v>3293</v>
      </c>
      <c r="B3295" s="4" t="str">
        <f>"39712022060220573887095"</f>
        <v>39712022060220573887095</v>
      </c>
      <c r="C3295" s="4" t="s">
        <v>28</v>
      </c>
      <c r="D3295" s="4" t="str">
        <f>"温舒淇"</f>
        <v>温舒淇</v>
      </c>
      <c r="E3295" s="4" t="str">
        <f t="shared" si="129"/>
        <v>女</v>
      </c>
    </row>
    <row r="3296" spans="1:5" ht="30" customHeight="1">
      <c r="A3296" s="4">
        <v>3294</v>
      </c>
      <c r="B3296" s="4" t="str">
        <f>"39712022060221091487131"</f>
        <v>39712022060221091487131</v>
      </c>
      <c r="C3296" s="4" t="s">
        <v>28</v>
      </c>
      <c r="D3296" s="4" t="str">
        <f>"刘小坤"</f>
        <v>刘小坤</v>
      </c>
      <c r="E3296" s="4" t="str">
        <f t="shared" si="129"/>
        <v>女</v>
      </c>
    </row>
    <row r="3297" spans="1:5" ht="30" customHeight="1">
      <c r="A3297" s="4">
        <v>3295</v>
      </c>
      <c r="B3297" s="4" t="str">
        <f>"39712022060221112187138"</f>
        <v>39712022060221112187138</v>
      </c>
      <c r="C3297" s="4" t="s">
        <v>28</v>
      </c>
      <c r="D3297" s="4" t="str">
        <f>"李艳"</f>
        <v>李艳</v>
      </c>
      <c r="E3297" s="4" t="str">
        <f t="shared" si="129"/>
        <v>女</v>
      </c>
    </row>
    <row r="3298" spans="1:5" ht="30" customHeight="1">
      <c r="A3298" s="4">
        <v>3296</v>
      </c>
      <c r="B3298" s="4" t="str">
        <f>"39712022060221132887145"</f>
        <v>39712022060221132887145</v>
      </c>
      <c r="C3298" s="4" t="s">
        <v>28</v>
      </c>
      <c r="D3298" s="4" t="str">
        <f>"韦桂丹"</f>
        <v>韦桂丹</v>
      </c>
      <c r="E3298" s="4" t="str">
        <f t="shared" si="129"/>
        <v>女</v>
      </c>
    </row>
    <row r="3299" spans="1:5" ht="30" customHeight="1">
      <c r="A3299" s="4">
        <v>3297</v>
      </c>
      <c r="B3299" s="4" t="str">
        <f>"39712022060221151987154"</f>
        <v>39712022060221151987154</v>
      </c>
      <c r="C3299" s="4" t="s">
        <v>28</v>
      </c>
      <c r="D3299" s="4" t="str">
        <f>"罗琼华"</f>
        <v>罗琼华</v>
      </c>
      <c r="E3299" s="4" t="str">
        <f t="shared" si="129"/>
        <v>女</v>
      </c>
    </row>
    <row r="3300" spans="1:5" ht="30" customHeight="1">
      <c r="A3300" s="4">
        <v>3298</v>
      </c>
      <c r="B3300" s="4" t="str">
        <f>"39712022060221171587159"</f>
        <v>39712022060221171587159</v>
      </c>
      <c r="C3300" s="4" t="s">
        <v>28</v>
      </c>
      <c r="D3300" s="4" t="str">
        <f>"王凯婷"</f>
        <v>王凯婷</v>
      </c>
      <c r="E3300" s="4" t="str">
        <f t="shared" si="129"/>
        <v>女</v>
      </c>
    </row>
    <row r="3301" spans="1:5" ht="30" customHeight="1">
      <c r="A3301" s="4">
        <v>3299</v>
      </c>
      <c r="B3301" s="4" t="str">
        <f>"39712022060221175387164"</f>
        <v>39712022060221175387164</v>
      </c>
      <c r="C3301" s="4" t="s">
        <v>28</v>
      </c>
      <c r="D3301" s="4" t="str">
        <f>"王晓宇"</f>
        <v>王晓宇</v>
      </c>
      <c r="E3301" s="4" t="str">
        <f t="shared" si="129"/>
        <v>女</v>
      </c>
    </row>
    <row r="3302" spans="1:5" ht="30" customHeight="1">
      <c r="A3302" s="4">
        <v>3300</v>
      </c>
      <c r="B3302" s="4" t="str">
        <f>"39712022060221190787168"</f>
        <v>39712022060221190787168</v>
      </c>
      <c r="C3302" s="4" t="s">
        <v>28</v>
      </c>
      <c r="D3302" s="4" t="str">
        <f>"吴雪"</f>
        <v>吴雪</v>
      </c>
      <c r="E3302" s="4" t="str">
        <f t="shared" si="129"/>
        <v>女</v>
      </c>
    </row>
    <row r="3303" spans="1:5" ht="30" customHeight="1">
      <c r="A3303" s="4">
        <v>3301</v>
      </c>
      <c r="B3303" s="4" t="str">
        <f>"39712022060221332987223"</f>
        <v>39712022060221332987223</v>
      </c>
      <c r="C3303" s="4" t="s">
        <v>28</v>
      </c>
      <c r="D3303" s="4" t="str">
        <f>"毛一娜"</f>
        <v>毛一娜</v>
      </c>
      <c r="E3303" s="4" t="str">
        <f t="shared" si="129"/>
        <v>女</v>
      </c>
    </row>
    <row r="3304" spans="1:5" ht="30" customHeight="1">
      <c r="A3304" s="4">
        <v>3302</v>
      </c>
      <c r="B3304" s="4" t="str">
        <f>"39712022060221341187226"</f>
        <v>39712022060221341187226</v>
      </c>
      <c r="C3304" s="4" t="s">
        <v>28</v>
      </c>
      <c r="D3304" s="4" t="str">
        <f>"符梦蝶"</f>
        <v>符梦蝶</v>
      </c>
      <c r="E3304" s="4" t="str">
        <f t="shared" si="129"/>
        <v>女</v>
      </c>
    </row>
    <row r="3305" spans="1:5" ht="30" customHeight="1">
      <c r="A3305" s="4">
        <v>3303</v>
      </c>
      <c r="B3305" s="4" t="str">
        <f>"39712022060221374187232"</f>
        <v>39712022060221374187232</v>
      </c>
      <c r="C3305" s="4" t="s">
        <v>28</v>
      </c>
      <c r="D3305" s="4" t="str">
        <f>"吴媚"</f>
        <v>吴媚</v>
      </c>
      <c r="E3305" s="4" t="str">
        <f t="shared" si="129"/>
        <v>女</v>
      </c>
    </row>
    <row r="3306" spans="1:5" ht="30" customHeight="1">
      <c r="A3306" s="4">
        <v>3304</v>
      </c>
      <c r="B3306" s="4" t="str">
        <f>"39712022060221383087239"</f>
        <v>39712022060221383087239</v>
      </c>
      <c r="C3306" s="4" t="s">
        <v>28</v>
      </c>
      <c r="D3306" s="4" t="str">
        <f>"王晓玲"</f>
        <v>王晓玲</v>
      </c>
      <c r="E3306" s="4" t="str">
        <f t="shared" si="129"/>
        <v>女</v>
      </c>
    </row>
    <row r="3307" spans="1:5" ht="30" customHeight="1">
      <c r="A3307" s="4">
        <v>3305</v>
      </c>
      <c r="B3307" s="4" t="str">
        <f>"39712022060221392887241"</f>
        <v>39712022060221392887241</v>
      </c>
      <c r="C3307" s="4" t="s">
        <v>28</v>
      </c>
      <c r="D3307" s="4" t="str">
        <f>"吴欢"</f>
        <v>吴欢</v>
      </c>
      <c r="E3307" s="4" t="str">
        <f t="shared" si="129"/>
        <v>女</v>
      </c>
    </row>
    <row r="3308" spans="1:5" ht="30" customHeight="1">
      <c r="A3308" s="4">
        <v>3306</v>
      </c>
      <c r="B3308" s="4" t="str">
        <f>"39712022060222055687314"</f>
        <v>39712022060222055687314</v>
      </c>
      <c r="C3308" s="4" t="s">
        <v>28</v>
      </c>
      <c r="D3308" s="4" t="str">
        <f>"梁缘"</f>
        <v>梁缘</v>
      </c>
      <c r="E3308" s="4" t="str">
        <f t="shared" si="129"/>
        <v>女</v>
      </c>
    </row>
    <row r="3309" spans="1:5" ht="30" customHeight="1">
      <c r="A3309" s="4">
        <v>3307</v>
      </c>
      <c r="B3309" s="4" t="str">
        <f>"39712022060222135587344"</f>
        <v>39712022060222135587344</v>
      </c>
      <c r="C3309" s="4" t="s">
        <v>28</v>
      </c>
      <c r="D3309" s="4" t="str">
        <f>"黄燕蕊"</f>
        <v>黄燕蕊</v>
      </c>
      <c r="E3309" s="4" t="str">
        <f t="shared" si="129"/>
        <v>女</v>
      </c>
    </row>
    <row r="3310" spans="1:5" ht="30" customHeight="1">
      <c r="A3310" s="4">
        <v>3308</v>
      </c>
      <c r="B3310" s="4" t="str">
        <f>"39712022060222181987359"</f>
        <v>39712022060222181987359</v>
      </c>
      <c r="C3310" s="4" t="s">
        <v>28</v>
      </c>
      <c r="D3310" s="4" t="str">
        <f>"符达琼"</f>
        <v>符达琼</v>
      </c>
      <c r="E3310" s="4" t="str">
        <f>"男"</f>
        <v>男</v>
      </c>
    </row>
    <row r="3311" spans="1:5" ht="30" customHeight="1">
      <c r="A3311" s="4">
        <v>3309</v>
      </c>
      <c r="B3311" s="4" t="str">
        <f>"39712022060222190087361"</f>
        <v>39712022060222190087361</v>
      </c>
      <c r="C3311" s="4" t="s">
        <v>28</v>
      </c>
      <c r="D3311" s="4" t="str">
        <f>"王飞燕"</f>
        <v>王飞燕</v>
      </c>
      <c r="E3311" s="4" t="str">
        <f aca="true" t="shared" si="130" ref="E3311:E3374">"女"</f>
        <v>女</v>
      </c>
    </row>
    <row r="3312" spans="1:5" ht="30" customHeight="1">
      <c r="A3312" s="4">
        <v>3310</v>
      </c>
      <c r="B3312" s="4" t="str">
        <f>"39712022060222195187364"</f>
        <v>39712022060222195187364</v>
      </c>
      <c r="C3312" s="4" t="s">
        <v>28</v>
      </c>
      <c r="D3312" s="4" t="str">
        <f>"陈伊果"</f>
        <v>陈伊果</v>
      </c>
      <c r="E3312" s="4" t="str">
        <f t="shared" si="130"/>
        <v>女</v>
      </c>
    </row>
    <row r="3313" spans="1:5" ht="30" customHeight="1">
      <c r="A3313" s="4">
        <v>3311</v>
      </c>
      <c r="B3313" s="4" t="str">
        <f>"39712022060222252087386"</f>
        <v>39712022060222252087386</v>
      </c>
      <c r="C3313" s="4" t="s">
        <v>28</v>
      </c>
      <c r="D3313" s="4" t="str">
        <f>"何恋"</f>
        <v>何恋</v>
      </c>
      <c r="E3313" s="4" t="str">
        <f t="shared" si="130"/>
        <v>女</v>
      </c>
    </row>
    <row r="3314" spans="1:5" ht="30" customHeight="1">
      <c r="A3314" s="4">
        <v>3312</v>
      </c>
      <c r="B3314" s="4" t="str">
        <f>"39712022060222321387408"</f>
        <v>39712022060222321387408</v>
      </c>
      <c r="C3314" s="4" t="s">
        <v>28</v>
      </c>
      <c r="D3314" s="4" t="str">
        <f>"秦亚茹"</f>
        <v>秦亚茹</v>
      </c>
      <c r="E3314" s="4" t="str">
        <f t="shared" si="130"/>
        <v>女</v>
      </c>
    </row>
    <row r="3315" spans="1:5" ht="30" customHeight="1">
      <c r="A3315" s="4">
        <v>3313</v>
      </c>
      <c r="B3315" s="4" t="str">
        <f>"39712022060222352587417"</f>
        <v>39712022060222352587417</v>
      </c>
      <c r="C3315" s="4" t="s">
        <v>28</v>
      </c>
      <c r="D3315" s="4" t="str">
        <f>"周曼云"</f>
        <v>周曼云</v>
      </c>
      <c r="E3315" s="4" t="str">
        <f t="shared" si="130"/>
        <v>女</v>
      </c>
    </row>
    <row r="3316" spans="1:5" ht="30" customHeight="1">
      <c r="A3316" s="4">
        <v>3314</v>
      </c>
      <c r="B3316" s="4" t="str">
        <f>"39712022060222412687443"</f>
        <v>39712022060222412687443</v>
      </c>
      <c r="C3316" s="4" t="s">
        <v>28</v>
      </c>
      <c r="D3316" s="4" t="str">
        <f>"梁乾英"</f>
        <v>梁乾英</v>
      </c>
      <c r="E3316" s="4" t="str">
        <f t="shared" si="130"/>
        <v>女</v>
      </c>
    </row>
    <row r="3317" spans="1:5" ht="30" customHeight="1">
      <c r="A3317" s="4">
        <v>3315</v>
      </c>
      <c r="B3317" s="4" t="str">
        <f>"39712022060222422387448"</f>
        <v>39712022060222422387448</v>
      </c>
      <c r="C3317" s="4" t="s">
        <v>28</v>
      </c>
      <c r="D3317" s="4" t="str">
        <f>"郑芳玲"</f>
        <v>郑芳玲</v>
      </c>
      <c r="E3317" s="4" t="str">
        <f t="shared" si="130"/>
        <v>女</v>
      </c>
    </row>
    <row r="3318" spans="1:5" ht="30" customHeight="1">
      <c r="A3318" s="4">
        <v>3316</v>
      </c>
      <c r="B3318" s="4" t="str">
        <f>"39712022060222460087462"</f>
        <v>39712022060222460087462</v>
      </c>
      <c r="C3318" s="4" t="s">
        <v>28</v>
      </c>
      <c r="D3318" s="4" t="str">
        <f>"王小莉"</f>
        <v>王小莉</v>
      </c>
      <c r="E3318" s="4" t="str">
        <f t="shared" si="130"/>
        <v>女</v>
      </c>
    </row>
    <row r="3319" spans="1:5" ht="30" customHeight="1">
      <c r="A3319" s="4">
        <v>3317</v>
      </c>
      <c r="B3319" s="4" t="str">
        <f>"39712022060222471387465"</f>
        <v>39712022060222471387465</v>
      </c>
      <c r="C3319" s="4" t="s">
        <v>28</v>
      </c>
      <c r="D3319" s="4" t="str">
        <f>"姚丽琴"</f>
        <v>姚丽琴</v>
      </c>
      <c r="E3319" s="4" t="str">
        <f t="shared" si="130"/>
        <v>女</v>
      </c>
    </row>
    <row r="3320" spans="1:5" ht="30" customHeight="1">
      <c r="A3320" s="4">
        <v>3318</v>
      </c>
      <c r="B3320" s="4" t="str">
        <f>"39712022060222482187471"</f>
        <v>39712022060222482187471</v>
      </c>
      <c r="C3320" s="4" t="s">
        <v>28</v>
      </c>
      <c r="D3320" s="4" t="str">
        <f>"符夏金"</f>
        <v>符夏金</v>
      </c>
      <c r="E3320" s="4" t="str">
        <f t="shared" si="130"/>
        <v>女</v>
      </c>
    </row>
    <row r="3321" spans="1:5" ht="30" customHeight="1">
      <c r="A3321" s="4">
        <v>3319</v>
      </c>
      <c r="B3321" s="4" t="str">
        <f>"39712022060222494187476"</f>
        <v>39712022060222494187476</v>
      </c>
      <c r="C3321" s="4" t="s">
        <v>28</v>
      </c>
      <c r="D3321" s="4" t="str">
        <f>"李梦茹"</f>
        <v>李梦茹</v>
      </c>
      <c r="E3321" s="4" t="str">
        <f t="shared" si="130"/>
        <v>女</v>
      </c>
    </row>
    <row r="3322" spans="1:5" ht="30" customHeight="1">
      <c r="A3322" s="4">
        <v>3320</v>
      </c>
      <c r="B3322" s="4" t="str">
        <f>"39712022060222520687483"</f>
        <v>39712022060222520687483</v>
      </c>
      <c r="C3322" s="4" t="s">
        <v>28</v>
      </c>
      <c r="D3322" s="4" t="str">
        <f>"陈海霞"</f>
        <v>陈海霞</v>
      </c>
      <c r="E3322" s="4" t="str">
        <f t="shared" si="130"/>
        <v>女</v>
      </c>
    </row>
    <row r="3323" spans="1:5" ht="30" customHeight="1">
      <c r="A3323" s="4">
        <v>3321</v>
      </c>
      <c r="B3323" s="4" t="str">
        <f>"39712022060223002187503"</f>
        <v>39712022060223002187503</v>
      </c>
      <c r="C3323" s="4" t="s">
        <v>28</v>
      </c>
      <c r="D3323" s="4" t="str">
        <f>"崔欣"</f>
        <v>崔欣</v>
      </c>
      <c r="E3323" s="4" t="str">
        <f t="shared" si="130"/>
        <v>女</v>
      </c>
    </row>
    <row r="3324" spans="1:5" ht="30" customHeight="1">
      <c r="A3324" s="4">
        <v>3322</v>
      </c>
      <c r="B3324" s="4" t="str">
        <f>"39712022060223035187508"</f>
        <v>39712022060223035187508</v>
      </c>
      <c r="C3324" s="4" t="s">
        <v>28</v>
      </c>
      <c r="D3324" s="4" t="str">
        <f>"苏姜茹"</f>
        <v>苏姜茹</v>
      </c>
      <c r="E3324" s="4" t="str">
        <f t="shared" si="130"/>
        <v>女</v>
      </c>
    </row>
    <row r="3325" spans="1:5" ht="30" customHeight="1">
      <c r="A3325" s="4">
        <v>3323</v>
      </c>
      <c r="B3325" s="4" t="str">
        <f>"39712022060223104287519"</f>
        <v>39712022060223104287519</v>
      </c>
      <c r="C3325" s="4" t="s">
        <v>28</v>
      </c>
      <c r="D3325" s="4" t="str">
        <f>"曾月"</f>
        <v>曾月</v>
      </c>
      <c r="E3325" s="4" t="str">
        <f t="shared" si="130"/>
        <v>女</v>
      </c>
    </row>
    <row r="3326" spans="1:5" ht="30" customHeight="1">
      <c r="A3326" s="4">
        <v>3324</v>
      </c>
      <c r="B3326" s="4" t="str">
        <f>"39712022060223265187530"</f>
        <v>39712022060223265187530</v>
      </c>
      <c r="C3326" s="4" t="s">
        <v>28</v>
      </c>
      <c r="D3326" s="4" t="str">
        <f>"于昕鹭"</f>
        <v>于昕鹭</v>
      </c>
      <c r="E3326" s="4" t="str">
        <f t="shared" si="130"/>
        <v>女</v>
      </c>
    </row>
    <row r="3327" spans="1:5" ht="30" customHeight="1">
      <c r="A3327" s="4">
        <v>3325</v>
      </c>
      <c r="B3327" s="4" t="str">
        <f>"39712022060223273887532"</f>
        <v>39712022060223273887532</v>
      </c>
      <c r="C3327" s="4" t="s">
        <v>28</v>
      </c>
      <c r="D3327" s="4" t="str">
        <f>"王陆妹"</f>
        <v>王陆妹</v>
      </c>
      <c r="E3327" s="4" t="str">
        <f t="shared" si="130"/>
        <v>女</v>
      </c>
    </row>
    <row r="3328" spans="1:5" ht="30" customHeight="1">
      <c r="A3328" s="4">
        <v>3326</v>
      </c>
      <c r="B3328" s="4" t="str">
        <f>"39712022060223384487546"</f>
        <v>39712022060223384487546</v>
      </c>
      <c r="C3328" s="4" t="s">
        <v>28</v>
      </c>
      <c r="D3328" s="4" t="str">
        <f>"黄少"</f>
        <v>黄少</v>
      </c>
      <c r="E3328" s="4" t="str">
        <f t="shared" si="130"/>
        <v>女</v>
      </c>
    </row>
    <row r="3329" spans="1:5" ht="30" customHeight="1">
      <c r="A3329" s="4">
        <v>3327</v>
      </c>
      <c r="B3329" s="4" t="str">
        <f>"39712022060223434187551"</f>
        <v>39712022060223434187551</v>
      </c>
      <c r="C3329" s="4" t="s">
        <v>28</v>
      </c>
      <c r="D3329" s="4" t="str">
        <f>"陈妹"</f>
        <v>陈妹</v>
      </c>
      <c r="E3329" s="4" t="str">
        <f t="shared" si="130"/>
        <v>女</v>
      </c>
    </row>
    <row r="3330" spans="1:5" ht="30" customHeight="1">
      <c r="A3330" s="4">
        <v>3328</v>
      </c>
      <c r="B3330" s="4" t="str">
        <f>"39712022060223435087552"</f>
        <v>39712022060223435087552</v>
      </c>
      <c r="C3330" s="4" t="s">
        <v>28</v>
      </c>
      <c r="D3330" s="4" t="str">
        <f>"符应桃"</f>
        <v>符应桃</v>
      </c>
      <c r="E3330" s="4" t="str">
        <f t="shared" si="130"/>
        <v>女</v>
      </c>
    </row>
    <row r="3331" spans="1:5" ht="30" customHeight="1">
      <c r="A3331" s="4">
        <v>3329</v>
      </c>
      <c r="B3331" s="4" t="str">
        <f>"39712022060300000687564"</f>
        <v>39712022060300000687564</v>
      </c>
      <c r="C3331" s="4" t="s">
        <v>28</v>
      </c>
      <c r="D3331" s="4" t="str">
        <f>"张华丽"</f>
        <v>张华丽</v>
      </c>
      <c r="E3331" s="4" t="str">
        <f t="shared" si="130"/>
        <v>女</v>
      </c>
    </row>
    <row r="3332" spans="1:5" ht="30" customHeight="1">
      <c r="A3332" s="4">
        <v>3330</v>
      </c>
      <c r="B3332" s="4" t="str">
        <f>"39712022060300010287566"</f>
        <v>39712022060300010287566</v>
      </c>
      <c r="C3332" s="4" t="s">
        <v>28</v>
      </c>
      <c r="D3332" s="4" t="str">
        <f>"周蕾"</f>
        <v>周蕾</v>
      </c>
      <c r="E3332" s="4" t="str">
        <f t="shared" si="130"/>
        <v>女</v>
      </c>
    </row>
    <row r="3333" spans="1:5" ht="30" customHeight="1">
      <c r="A3333" s="4">
        <v>3331</v>
      </c>
      <c r="B3333" s="4" t="str">
        <f>"39712022060300072987568"</f>
        <v>39712022060300072987568</v>
      </c>
      <c r="C3333" s="4" t="s">
        <v>28</v>
      </c>
      <c r="D3333" s="4" t="str">
        <f>"黄思思"</f>
        <v>黄思思</v>
      </c>
      <c r="E3333" s="4" t="str">
        <f t="shared" si="130"/>
        <v>女</v>
      </c>
    </row>
    <row r="3334" spans="1:5" ht="30" customHeight="1">
      <c r="A3334" s="4">
        <v>3332</v>
      </c>
      <c r="B3334" s="4" t="str">
        <f>"39712022060300155687573"</f>
        <v>39712022060300155687573</v>
      </c>
      <c r="C3334" s="4" t="s">
        <v>28</v>
      </c>
      <c r="D3334" s="4" t="str">
        <f>"林钰"</f>
        <v>林钰</v>
      </c>
      <c r="E3334" s="4" t="str">
        <f t="shared" si="130"/>
        <v>女</v>
      </c>
    </row>
    <row r="3335" spans="1:5" ht="30" customHeight="1">
      <c r="A3335" s="4">
        <v>3333</v>
      </c>
      <c r="B3335" s="4" t="str">
        <f>"39712022060300283987584"</f>
        <v>39712022060300283987584</v>
      </c>
      <c r="C3335" s="4" t="s">
        <v>28</v>
      </c>
      <c r="D3335" s="4" t="str">
        <f>"何慧芳"</f>
        <v>何慧芳</v>
      </c>
      <c r="E3335" s="4" t="str">
        <f t="shared" si="130"/>
        <v>女</v>
      </c>
    </row>
    <row r="3336" spans="1:5" ht="30" customHeight="1">
      <c r="A3336" s="4">
        <v>3334</v>
      </c>
      <c r="B3336" s="4" t="str">
        <f>"39712022060301365087606"</f>
        <v>39712022060301365087606</v>
      </c>
      <c r="C3336" s="4" t="s">
        <v>28</v>
      </c>
      <c r="D3336" s="4" t="str">
        <f>"李晶"</f>
        <v>李晶</v>
      </c>
      <c r="E3336" s="4" t="str">
        <f t="shared" si="130"/>
        <v>女</v>
      </c>
    </row>
    <row r="3337" spans="1:5" ht="30" customHeight="1">
      <c r="A3337" s="4">
        <v>3335</v>
      </c>
      <c r="B3337" s="4" t="str">
        <f>"39712022060302004087608"</f>
        <v>39712022060302004087608</v>
      </c>
      <c r="C3337" s="4" t="s">
        <v>28</v>
      </c>
      <c r="D3337" s="4" t="str">
        <f>"范玉玲"</f>
        <v>范玉玲</v>
      </c>
      <c r="E3337" s="4" t="str">
        <f t="shared" si="130"/>
        <v>女</v>
      </c>
    </row>
    <row r="3338" spans="1:5" ht="30" customHeight="1">
      <c r="A3338" s="4">
        <v>3336</v>
      </c>
      <c r="B3338" s="4" t="str">
        <f>"39712022060307242587620"</f>
        <v>39712022060307242587620</v>
      </c>
      <c r="C3338" s="4" t="s">
        <v>28</v>
      </c>
      <c r="D3338" s="4" t="str">
        <f>"李璐瑶"</f>
        <v>李璐瑶</v>
      </c>
      <c r="E3338" s="4" t="str">
        <f t="shared" si="130"/>
        <v>女</v>
      </c>
    </row>
    <row r="3339" spans="1:5" ht="30" customHeight="1">
      <c r="A3339" s="4">
        <v>3337</v>
      </c>
      <c r="B3339" s="4" t="str">
        <f>"39712022060307462687624"</f>
        <v>39712022060307462687624</v>
      </c>
      <c r="C3339" s="4" t="s">
        <v>28</v>
      </c>
      <c r="D3339" s="4" t="str">
        <f>"马倩雯"</f>
        <v>马倩雯</v>
      </c>
      <c r="E3339" s="4" t="str">
        <f t="shared" si="130"/>
        <v>女</v>
      </c>
    </row>
    <row r="3340" spans="1:5" ht="30" customHeight="1">
      <c r="A3340" s="4">
        <v>3338</v>
      </c>
      <c r="B3340" s="4" t="str">
        <f>"39712022060308445087655"</f>
        <v>39712022060308445087655</v>
      </c>
      <c r="C3340" s="4" t="s">
        <v>28</v>
      </c>
      <c r="D3340" s="4" t="str">
        <f>"刘玉珍"</f>
        <v>刘玉珍</v>
      </c>
      <c r="E3340" s="4" t="str">
        <f t="shared" si="130"/>
        <v>女</v>
      </c>
    </row>
    <row r="3341" spans="1:5" ht="30" customHeight="1">
      <c r="A3341" s="4">
        <v>3339</v>
      </c>
      <c r="B3341" s="4" t="str">
        <f>"39712022060308541387663"</f>
        <v>39712022060308541387663</v>
      </c>
      <c r="C3341" s="4" t="s">
        <v>28</v>
      </c>
      <c r="D3341" s="4" t="str">
        <f>"韦琳影"</f>
        <v>韦琳影</v>
      </c>
      <c r="E3341" s="4" t="str">
        <f t="shared" si="130"/>
        <v>女</v>
      </c>
    </row>
    <row r="3342" spans="1:5" ht="30" customHeight="1">
      <c r="A3342" s="4">
        <v>3340</v>
      </c>
      <c r="B3342" s="4" t="str">
        <f>"39712022060309015387673"</f>
        <v>39712022060309015387673</v>
      </c>
      <c r="C3342" s="4" t="s">
        <v>28</v>
      </c>
      <c r="D3342" s="4" t="str">
        <f>"姚银"</f>
        <v>姚银</v>
      </c>
      <c r="E3342" s="4" t="str">
        <f t="shared" si="130"/>
        <v>女</v>
      </c>
    </row>
    <row r="3343" spans="1:5" ht="30" customHeight="1">
      <c r="A3343" s="4">
        <v>3341</v>
      </c>
      <c r="B3343" s="4" t="str">
        <f>"39712022060309081287681"</f>
        <v>39712022060309081287681</v>
      </c>
      <c r="C3343" s="4" t="s">
        <v>28</v>
      </c>
      <c r="D3343" s="4" t="str">
        <f>"郑绮蕾"</f>
        <v>郑绮蕾</v>
      </c>
      <c r="E3343" s="4" t="str">
        <f t="shared" si="130"/>
        <v>女</v>
      </c>
    </row>
    <row r="3344" spans="1:5" ht="30" customHeight="1">
      <c r="A3344" s="4">
        <v>3342</v>
      </c>
      <c r="B3344" s="4" t="str">
        <f>"39712022060309095687684"</f>
        <v>39712022060309095687684</v>
      </c>
      <c r="C3344" s="4" t="s">
        <v>28</v>
      </c>
      <c r="D3344" s="4" t="str">
        <f>"韩春雨"</f>
        <v>韩春雨</v>
      </c>
      <c r="E3344" s="4" t="str">
        <f t="shared" si="130"/>
        <v>女</v>
      </c>
    </row>
    <row r="3345" spans="1:5" ht="30" customHeight="1">
      <c r="A3345" s="4">
        <v>3343</v>
      </c>
      <c r="B3345" s="4" t="str">
        <f>"39712022060309175787694"</f>
        <v>39712022060309175787694</v>
      </c>
      <c r="C3345" s="4" t="s">
        <v>28</v>
      </c>
      <c r="D3345" s="4" t="str">
        <f>"陈福映"</f>
        <v>陈福映</v>
      </c>
      <c r="E3345" s="4" t="str">
        <f t="shared" si="130"/>
        <v>女</v>
      </c>
    </row>
    <row r="3346" spans="1:5" ht="30" customHeight="1">
      <c r="A3346" s="4">
        <v>3344</v>
      </c>
      <c r="B3346" s="4" t="str">
        <f>"39712022060309191387695"</f>
        <v>39712022060309191387695</v>
      </c>
      <c r="C3346" s="4" t="s">
        <v>28</v>
      </c>
      <c r="D3346" s="4" t="str">
        <f>"符剑艳"</f>
        <v>符剑艳</v>
      </c>
      <c r="E3346" s="4" t="str">
        <f t="shared" si="130"/>
        <v>女</v>
      </c>
    </row>
    <row r="3347" spans="1:5" ht="30" customHeight="1">
      <c r="A3347" s="4">
        <v>3345</v>
      </c>
      <c r="B3347" s="4" t="str">
        <f>"39712022060309195087697"</f>
        <v>39712022060309195087697</v>
      </c>
      <c r="C3347" s="4" t="s">
        <v>28</v>
      </c>
      <c r="D3347" s="4" t="str">
        <f>"王小妹"</f>
        <v>王小妹</v>
      </c>
      <c r="E3347" s="4" t="str">
        <f t="shared" si="130"/>
        <v>女</v>
      </c>
    </row>
    <row r="3348" spans="1:5" ht="30" customHeight="1">
      <c r="A3348" s="4">
        <v>3346</v>
      </c>
      <c r="B3348" s="4" t="str">
        <f>"39712022060309335987705"</f>
        <v>39712022060309335987705</v>
      </c>
      <c r="C3348" s="4" t="s">
        <v>28</v>
      </c>
      <c r="D3348" s="4" t="str">
        <f>"赵民英"</f>
        <v>赵民英</v>
      </c>
      <c r="E3348" s="4" t="str">
        <f t="shared" si="130"/>
        <v>女</v>
      </c>
    </row>
    <row r="3349" spans="1:5" ht="30" customHeight="1">
      <c r="A3349" s="4">
        <v>3347</v>
      </c>
      <c r="B3349" s="4" t="str">
        <f>"39712022060309400087709"</f>
        <v>39712022060309400087709</v>
      </c>
      <c r="C3349" s="4" t="s">
        <v>28</v>
      </c>
      <c r="D3349" s="4" t="str">
        <f>"欧阳琳"</f>
        <v>欧阳琳</v>
      </c>
      <c r="E3349" s="4" t="str">
        <f t="shared" si="130"/>
        <v>女</v>
      </c>
    </row>
    <row r="3350" spans="1:5" ht="30" customHeight="1">
      <c r="A3350" s="4">
        <v>3348</v>
      </c>
      <c r="B3350" s="4" t="str">
        <f>"39712022060309415887715"</f>
        <v>39712022060309415887715</v>
      </c>
      <c r="C3350" s="4" t="s">
        <v>28</v>
      </c>
      <c r="D3350" s="4" t="str">
        <f>"李梅"</f>
        <v>李梅</v>
      </c>
      <c r="E3350" s="4" t="str">
        <f t="shared" si="130"/>
        <v>女</v>
      </c>
    </row>
    <row r="3351" spans="1:5" ht="30" customHeight="1">
      <c r="A3351" s="4">
        <v>3349</v>
      </c>
      <c r="B3351" s="4" t="str">
        <f>"39712022060309555087729"</f>
        <v>39712022060309555087729</v>
      </c>
      <c r="C3351" s="4" t="s">
        <v>28</v>
      </c>
      <c r="D3351" s="4" t="str">
        <f>"符艺颖"</f>
        <v>符艺颖</v>
      </c>
      <c r="E3351" s="4" t="str">
        <f t="shared" si="130"/>
        <v>女</v>
      </c>
    </row>
    <row r="3352" spans="1:5" ht="30" customHeight="1">
      <c r="A3352" s="4">
        <v>3350</v>
      </c>
      <c r="B3352" s="4" t="str">
        <f>"39712022060310092987747"</f>
        <v>39712022060310092987747</v>
      </c>
      <c r="C3352" s="4" t="s">
        <v>28</v>
      </c>
      <c r="D3352" s="4" t="str">
        <f>"唐琴"</f>
        <v>唐琴</v>
      </c>
      <c r="E3352" s="4" t="str">
        <f t="shared" si="130"/>
        <v>女</v>
      </c>
    </row>
    <row r="3353" spans="1:5" ht="30" customHeight="1">
      <c r="A3353" s="4">
        <v>3351</v>
      </c>
      <c r="B3353" s="4" t="str">
        <f>"39712022060310281987776"</f>
        <v>39712022060310281987776</v>
      </c>
      <c r="C3353" s="4" t="s">
        <v>28</v>
      </c>
      <c r="D3353" s="4" t="str">
        <f>"林小钰"</f>
        <v>林小钰</v>
      </c>
      <c r="E3353" s="4" t="str">
        <f t="shared" si="130"/>
        <v>女</v>
      </c>
    </row>
    <row r="3354" spans="1:5" ht="30" customHeight="1">
      <c r="A3354" s="4">
        <v>3352</v>
      </c>
      <c r="B3354" s="4" t="str">
        <f>"39712022060310325187780"</f>
        <v>39712022060310325187780</v>
      </c>
      <c r="C3354" s="4" t="s">
        <v>28</v>
      </c>
      <c r="D3354" s="4" t="str">
        <f>"王和香"</f>
        <v>王和香</v>
      </c>
      <c r="E3354" s="4" t="str">
        <f t="shared" si="130"/>
        <v>女</v>
      </c>
    </row>
    <row r="3355" spans="1:5" ht="30" customHeight="1">
      <c r="A3355" s="4">
        <v>3353</v>
      </c>
      <c r="B3355" s="4" t="str">
        <f>"39712022060310380787785"</f>
        <v>39712022060310380787785</v>
      </c>
      <c r="C3355" s="4" t="s">
        <v>28</v>
      </c>
      <c r="D3355" s="4" t="str">
        <f>"文真真"</f>
        <v>文真真</v>
      </c>
      <c r="E3355" s="4" t="str">
        <f t="shared" si="130"/>
        <v>女</v>
      </c>
    </row>
    <row r="3356" spans="1:5" ht="30" customHeight="1">
      <c r="A3356" s="4">
        <v>3354</v>
      </c>
      <c r="B3356" s="4" t="str">
        <f>"39712022060310402487791"</f>
        <v>39712022060310402487791</v>
      </c>
      <c r="C3356" s="4" t="s">
        <v>28</v>
      </c>
      <c r="D3356" s="4" t="str">
        <f>"李钰莹"</f>
        <v>李钰莹</v>
      </c>
      <c r="E3356" s="4" t="str">
        <f t="shared" si="130"/>
        <v>女</v>
      </c>
    </row>
    <row r="3357" spans="1:5" ht="30" customHeight="1">
      <c r="A3357" s="4">
        <v>3355</v>
      </c>
      <c r="B3357" s="4" t="str">
        <f>"39712022060310453187794"</f>
        <v>39712022060310453187794</v>
      </c>
      <c r="C3357" s="4" t="s">
        <v>28</v>
      </c>
      <c r="D3357" s="4" t="str">
        <f>"夏李慧"</f>
        <v>夏李慧</v>
      </c>
      <c r="E3357" s="4" t="str">
        <f t="shared" si="130"/>
        <v>女</v>
      </c>
    </row>
    <row r="3358" spans="1:5" ht="30" customHeight="1">
      <c r="A3358" s="4">
        <v>3356</v>
      </c>
      <c r="B3358" s="4" t="str">
        <f>"39712022060310471687796"</f>
        <v>39712022060310471687796</v>
      </c>
      <c r="C3358" s="4" t="s">
        <v>28</v>
      </c>
      <c r="D3358" s="4" t="str">
        <f>"王茜"</f>
        <v>王茜</v>
      </c>
      <c r="E3358" s="4" t="str">
        <f t="shared" si="130"/>
        <v>女</v>
      </c>
    </row>
    <row r="3359" spans="1:5" ht="30" customHeight="1">
      <c r="A3359" s="4">
        <v>3357</v>
      </c>
      <c r="B3359" s="4" t="str">
        <f>"39712022060311004387813"</f>
        <v>39712022060311004387813</v>
      </c>
      <c r="C3359" s="4" t="s">
        <v>28</v>
      </c>
      <c r="D3359" s="4" t="str">
        <f>"曾少玲"</f>
        <v>曾少玲</v>
      </c>
      <c r="E3359" s="4" t="str">
        <f t="shared" si="130"/>
        <v>女</v>
      </c>
    </row>
    <row r="3360" spans="1:5" ht="30" customHeight="1">
      <c r="A3360" s="4">
        <v>3358</v>
      </c>
      <c r="B3360" s="4" t="str">
        <f>"39712022060311033787817"</f>
        <v>39712022060311033787817</v>
      </c>
      <c r="C3360" s="4" t="s">
        <v>28</v>
      </c>
      <c r="D3360" s="4" t="str">
        <f>"陈妹玲"</f>
        <v>陈妹玲</v>
      </c>
      <c r="E3360" s="4" t="str">
        <f t="shared" si="130"/>
        <v>女</v>
      </c>
    </row>
    <row r="3361" spans="1:5" ht="30" customHeight="1">
      <c r="A3361" s="4">
        <v>3359</v>
      </c>
      <c r="B3361" s="4" t="str">
        <f>"39712022060311205187835"</f>
        <v>39712022060311205187835</v>
      </c>
      <c r="C3361" s="4" t="s">
        <v>28</v>
      </c>
      <c r="D3361" s="4" t="str">
        <f>"王美娜"</f>
        <v>王美娜</v>
      </c>
      <c r="E3361" s="4" t="str">
        <f t="shared" si="130"/>
        <v>女</v>
      </c>
    </row>
    <row r="3362" spans="1:5" ht="30" customHeight="1">
      <c r="A3362" s="4">
        <v>3360</v>
      </c>
      <c r="B3362" s="4" t="str">
        <f>"39712022060311215887838"</f>
        <v>39712022060311215887838</v>
      </c>
      <c r="C3362" s="4" t="s">
        <v>28</v>
      </c>
      <c r="D3362" s="4" t="str">
        <f>"冯华"</f>
        <v>冯华</v>
      </c>
      <c r="E3362" s="4" t="str">
        <f t="shared" si="130"/>
        <v>女</v>
      </c>
    </row>
    <row r="3363" spans="1:5" ht="30" customHeight="1">
      <c r="A3363" s="4">
        <v>3361</v>
      </c>
      <c r="B3363" s="4" t="str">
        <f>"39712022060311243287841"</f>
        <v>39712022060311243287841</v>
      </c>
      <c r="C3363" s="4" t="s">
        <v>28</v>
      </c>
      <c r="D3363" s="4" t="str">
        <f>"陈蒙蒙"</f>
        <v>陈蒙蒙</v>
      </c>
      <c r="E3363" s="4" t="str">
        <f t="shared" si="130"/>
        <v>女</v>
      </c>
    </row>
    <row r="3364" spans="1:5" ht="30" customHeight="1">
      <c r="A3364" s="4">
        <v>3362</v>
      </c>
      <c r="B3364" s="4" t="str">
        <f>"39712022060311391287861"</f>
        <v>39712022060311391287861</v>
      </c>
      <c r="C3364" s="4" t="s">
        <v>28</v>
      </c>
      <c r="D3364" s="4" t="str">
        <f>"陈积丹"</f>
        <v>陈积丹</v>
      </c>
      <c r="E3364" s="4" t="str">
        <f t="shared" si="130"/>
        <v>女</v>
      </c>
    </row>
    <row r="3365" spans="1:5" ht="30" customHeight="1">
      <c r="A3365" s="4">
        <v>3363</v>
      </c>
      <c r="B3365" s="4" t="str">
        <f>"39712022060311421287865"</f>
        <v>39712022060311421287865</v>
      </c>
      <c r="C3365" s="4" t="s">
        <v>28</v>
      </c>
      <c r="D3365" s="4" t="str">
        <f>"陈俊婷"</f>
        <v>陈俊婷</v>
      </c>
      <c r="E3365" s="4" t="str">
        <f t="shared" si="130"/>
        <v>女</v>
      </c>
    </row>
    <row r="3366" spans="1:5" ht="30" customHeight="1">
      <c r="A3366" s="4">
        <v>3364</v>
      </c>
      <c r="B3366" s="4" t="str">
        <f>"39712022060311450787868"</f>
        <v>39712022060311450787868</v>
      </c>
      <c r="C3366" s="4" t="s">
        <v>28</v>
      </c>
      <c r="D3366" s="4" t="str">
        <f>"何明洲"</f>
        <v>何明洲</v>
      </c>
      <c r="E3366" s="4" t="str">
        <f t="shared" si="130"/>
        <v>女</v>
      </c>
    </row>
    <row r="3367" spans="1:5" ht="30" customHeight="1">
      <c r="A3367" s="4">
        <v>3365</v>
      </c>
      <c r="B3367" s="4" t="str">
        <f>"39712022060311464087870"</f>
        <v>39712022060311464087870</v>
      </c>
      <c r="C3367" s="4" t="s">
        <v>28</v>
      </c>
      <c r="D3367" s="4" t="str">
        <f>"洪杨婵"</f>
        <v>洪杨婵</v>
      </c>
      <c r="E3367" s="4" t="str">
        <f t="shared" si="130"/>
        <v>女</v>
      </c>
    </row>
    <row r="3368" spans="1:5" ht="30" customHeight="1">
      <c r="A3368" s="4">
        <v>3366</v>
      </c>
      <c r="B3368" s="4" t="str">
        <f>"39712022060311535187875"</f>
        <v>39712022060311535187875</v>
      </c>
      <c r="C3368" s="4" t="s">
        <v>28</v>
      </c>
      <c r="D3368" s="4" t="str">
        <f>"龙晶晶"</f>
        <v>龙晶晶</v>
      </c>
      <c r="E3368" s="4" t="str">
        <f t="shared" si="130"/>
        <v>女</v>
      </c>
    </row>
    <row r="3369" spans="1:5" ht="30" customHeight="1">
      <c r="A3369" s="4">
        <v>3367</v>
      </c>
      <c r="B3369" s="4" t="str">
        <f>"39712022060311580487881"</f>
        <v>39712022060311580487881</v>
      </c>
      <c r="C3369" s="4" t="s">
        <v>28</v>
      </c>
      <c r="D3369" s="4" t="str">
        <f>"林艺"</f>
        <v>林艺</v>
      </c>
      <c r="E3369" s="4" t="str">
        <f t="shared" si="130"/>
        <v>女</v>
      </c>
    </row>
    <row r="3370" spans="1:5" ht="30" customHeight="1">
      <c r="A3370" s="4">
        <v>3368</v>
      </c>
      <c r="B3370" s="4" t="str">
        <f>"39712022060312032087888"</f>
        <v>39712022060312032087888</v>
      </c>
      <c r="C3370" s="4" t="s">
        <v>28</v>
      </c>
      <c r="D3370" s="4" t="str">
        <f>"陈淑瑜"</f>
        <v>陈淑瑜</v>
      </c>
      <c r="E3370" s="4" t="str">
        <f t="shared" si="130"/>
        <v>女</v>
      </c>
    </row>
    <row r="3371" spans="1:5" ht="30" customHeight="1">
      <c r="A3371" s="4">
        <v>3369</v>
      </c>
      <c r="B3371" s="4" t="str">
        <f>"39712022060312134887906"</f>
        <v>39712022060312134887906</v>
      </c>
      <c r="C3371" s="4" t="s">
        <v>28</v>
      </c>
      <c r="D3371" s="4" t="str">
        <f>"杜晓莹"</f>
        <v>杜晓莹</v>
      </c>
      <c r="E3371" s="4" t="str">
        <f t="shared" si="130"/>
        <v>女</v>
      </c>
    </row>
    <row r="3372" spans="1:5" ht="30" customHeight="1">
      <c r="A3372" s="4">
        <v>3370</v>
      </c>
      <c r="B3372" s="4" t="str">
        <f>"39712022060312182587913"</f>
        <v>39712022060312182587913</v>
      </c>
      <c r="C3372" s="4" t="s">
        <v>28</v>
      </c>
      <c r="D3372" s="4" t="str">
        <f>"王丽金"</f>
        <v>王丽金</v>
      </c>
      <c r="E3372" s="4" t="str">
        <f t="shared" si="130"/>
        <v>女</v>
      </c>
    </row>
    <row r="3373" spans="1:5" ht="30" customHeight="1">
      <c r="A3373" s="4">
        <v>3371</v>
      </c>
      <c r="B3373" s="4" t="str">
        <f>"39712022060312253887917"</f>
        <v>39712022060312253887917</v>
      </c>
      <c r="C3373" s="4" t="s">
        <v>28</v>
      </c>
      <c r="D3373" s="4" t="str">
        <f>"李秋娟"</f>
        <v>李秋娟</v>
      </c>
      <c r="E3373" s="4" t="str">
        <f t="shared" si="130"/>
        <v>女</v>
      </c>
    </row>
    <row r="3374" spans="1:5" ht="30" customHeight="1">
      <c r="A3374" s="4">
        <v>3372</v>
      </c>
      <c r="B3374" s="4" t="str">
        <f>"39712022060312340287922"</f>
        <v>39712022060312340287922</v>
      </c>
      <c r="C3374" s="4" t="s">
        <v>28</v>
      </c>
      <c r="D3374" s="4" t="str">
        <f>"王琰"</f>
        <v>王琰</v>
      </c>
      <c r="E3374" s="4" t="str">
        <f t="shared" si="130"/>
        <v>女</v>
      </c>
    </row>
    <row r="3375" spans="1:5" ht="30" customHeight="1">
      <c r="A3375" s="4">
        <v>3373</v>
      </c>
      <c r="B3375" s="4" t="str">
        <f>"39712022060312382887924"</f>
        <v>39712022060312382887924</v>
      </c>
      <c r="C3375" s="4" t="s">
        <v>28</v>
      </c>
      <c r="D3375" s="4" t="str">
        <f>"陈莉金"</f>
        <v>陈莉金</v>
      </c>
      <c r="E3375" s="4" t="str">
        <f aca="true" t="shared" si="131" ref="E3375:E3389">"女"</f>
        <v>女</v>
      </c>
    </row>
    <row r="3376" spans="1:5" ht="30" customHeight="1">
      <c r="A3376" s="4">
        <v>3374</v>
      </c>
      <c r="B3376" s="4" t="str">
        <f>"39712022060313200087964"</f>
        <v>39712022060313200087964</v>
      </c>
      <c r="C3376" s="4" t="s">
        <v>28</v>
      </c>
      <c r="D3376" s="4" t="str">
        <f>"曾云"</f>
        <v>曾云</v>
      </c>
      <c r="E3376" s="4" t="str">
        <f t="shared" si="131"/>
        <v>女</v>
      </c>
    </row>
    <row r="3377" spans="1:5" ht="30" customHeight="1">
      <c r="A3377" s="4">
        <v>3375</v>
      </c>
      <c r="B3377" s="4" t="str">
        <f>"39712022060313243887965"</f>
        <v>39712022060313243887965</v>
      </c>
      <c r="C3377" s="4" t="s">
        <v>28</v>
      </c>
      <c r="D3377" s="4" t="str">
        <f>"羊世娟"</f>
        <v>羊世娟</v>
      </c>
      <c r="E3377" s="4" t="str">
        <f t="shared" si="131"/>
        <v>女</v>
      </c>
    </row>
    <row r="3378" spans="1:5" ht="30" customHeight="1">
      <c r="A3378" s="4">
        <v>3376</v>
      </c>
      <c r="B3378" s="4" t="str">
        <f>"39712022060313280587970"</f>
        <v>39712022060313280587970</v>
      </c>
      <c r="C3378" s="4" t="s">
        <v>28</v>
      </c>
      <c r="D3378" s="4" t="str">
        <f>"王微"</f>
        <v>王微</v>
      </c>
      <c r="E3378" s="4" t="str">
        <f t="shared" si="131"/>
        <v>女</v>
      </c>
    </row>
    <row r="3379" spans="1:5" ht="30" customHeight="1">
      <c r="A3379" s="4">
        <v>3377</v>
      </c>
      <c r="B3379" s="4" t="str">
        <f>"39712022060313292587972"</f>
        <v>39712022060313292587972</v>
      </c>
      <c r="C3379" s="4" t="s">
        <v>28</v>
      </c>
      <c r="D3379" s="4" t="str">
        <f>"王靖媛"</f>
        <v>王靖媛</v>
      </c>
      <c r="E3379" s="4" t="str">
        <f t="shared" si="131"/>
        <v>女</v>
      </c>
    </row>
    <row r="3380" spans="1:5" ht="30" customHeight="1">
      <c r="A3380" s="4">
        <v>3378</v>
      </c>
      <c r="B3380" s="4" t="str">
        <f>"39712022060314001687992"</f>
        <v>39712022060314001687992</v>
      </c>
      <c r="C3380" s="4" t="s">
        <v>28</v>
      </c>
      <c r="D3380" s="4" t="str">
        <f>"林静仪"</f>
        <v>林静仪</v>
      </c>
      <c r="E3380" s="4" t="str">
        <f t="shared" si="131"/>
        <v>女</v>
      </c>
    </row>
    <row r="3381" spans="1:5" ht="30" customHeight="1">
      <c r="A3381" s="4">
        <v>3379</v>
      </c>
      <c r="B3381" s="4" t="str">
        <f>"39712022060314021787995"</f>
        <v>39712022060314021787995</v>
      </c>
      <c r="C3381" s="4" t="s">
        <v>28</v>
      </c>
      <c r="D3381" s="4" t="str">
        <f>"黄海娜"</f>
        <v>黄海娜</v>
      </c>
      <c r="E3381" s="4" t="str">
        <f t="shared" si="131"/>
        <v>女</v>
      </c>
    </row>
    <row r="3382" spans="1:5" ht="30" customHeight="1">
      <c r="A3382" s="4">
        <v>3380</v>
      </c>
      <c r="B3382" s="4" t="str">
        <f>"39712022060314411888019"</f>
        <v>39712022060314411888019</v>
      </c>
      <c r="C3382" s="4" t="s">
        <v>28</v>
      </c>
      <c r="D3382" s="4" t="str">
        <f>"熊瑞"</f>
        <v>熊瑞</v>
      </c>
      <c r="E3382" s="4" t="str">
        <f t="shared" si="131"/>
        <v>女</v>
      </c>
    </row>
    <row r="3383" spans="1:5" ht="30" customHeight="1">
      <c r="A3383" s="4">
        <v>3381</v>
      </c>
      <c r="B3383" s="4" t="str">
        <f>"39712022060315130588054"</f>
        <v>39712022060315130588054</v>
      </c>
      <c r="C3383" s="4" t="s">
        <v>28</v>
      </c>
      <c r="D3383" s="4" t="str">
        <f>"曾妮"</f>
        <v>曾妮</v>
      </c>
      <c r="E3383" s="4" t="str">
        <f t="shared" si="131"/>
        <v>女</v>
      </c>
    </row>
    <row r="3384" spans="1:5" ht="30" customHeight="1">
      <c r="A3384" s="4">
        <v>3382</v>
      </c>
      <c r="B3384" s="4" t="str">
        <f>"39712022060315152488056"</f>
        <v>39712022060315152488056</v>
      </c>
      <c r="C3384" s="4" t="s">
        <v>28</v>
      </c>
      <c r="D3384" s="4" t="str">
        <f>"杜云婷"</f>
        <v>杜云婷</v>
      </c>
      <c r="E3384" s="4" t="str">
        <f t="shared" si="131"/>
        <v>女</v>
      </c>
    </row>
    <row r="3385" spans="1:5" ht="30" customHeight="1">
      <c r="A3385" s="4">
        <v>3383</v>
      </c>
      <c r="B3385" s="4" t="str">
        <f>"39712022060315162588058"</f>
        <v>39712022060315162588058</v>
      </c>
      <c r="C3385" s="4" t="s">
        <v>28</v>
      </c>
      <c r="D3385" s="4" t="str">
        <f>"林颖"</f>
        <v>林颖</v>
      </c>
      <c r="E3385" s="4" t="str">
        <f t="shared" si="131"/>
        <v>女</v>
      </c>
    </row>
    <row r="3386" spans="1:5" ht="30" customHeight="1">
      <c r="A3386" s="4">
        <v>3384</v>
      </c>
      <c r="B3386" s="4" t="str">
        <f>"39712022060315225588064"</f>
        <v>39712022060315225588064</v>
      </c>
      <c r="C3386" s="4" t="s">
        <v>28</v>
      </c>
      <c r="D3386" s="4" t="str">
        <f>"方梓情"</f>
        <v>方梓情</v>
      </c>
      <c r="E3386" s="4" t="str">
        <f t="shared" si="131"/>
        <v>女</v>
      </c>
    </row>
    <row r="3387" spans="1:5" ht="30" customHeight="1">
      <c r="A3387" s="4">
        <v>3385</v>
      </c>
      <c r="B3387" s="4" t="str">
        <f>"39712022060315452788087"</f>
        <v>39712022060315452788087</v>
      </c>
      <c r="C3387" s="4" t="s">
        <v>28</v>
      </c>
      <c r="D3387" s="4" t="str">
        <f>"粟静雯"</f>
        <v>粟静雯</v>
      </c>
      <c r="E3387" s="4" t="str">
        <f t="shared" si="131"/>
        <v>女</v>
      </c>
    </row>
    <row r="3388" spans="1:5" ht="30" customHeight="1">
      <c r="A3388" s="4">
        <v>3386</v>
      </c>
      <c r="B3388" s="4" t="str">
        <f>"39712022060316002688099"</f>
        <v>39712022060316002688099</v>
      </c>
      <c r="C3388" s="4" t="s">
        <v>28</v>
      </c>
      <c r="D3388" s="4" t="str">
        <f>"吴亚英"</f>
        <v>吴亚英</v>
      </c>
      <c r="E3388" s="4" t="str">
        <f t="shared" si="131"/>
        <v>女</v>
      </c>
    </row>
    <row r="3389" spans="1:5" ht="30" customHeight="1">
      <c r="A3389" s="4">
        <v>3387</v>
      </c>
      <c r="B3389" s="4" t="str">
        <f>"39712022060316064788110"</f>
        <v>39712022060316064788110</v>
      </c>
      <c r="C3389" s="4" t="s">
        <v>28</v>
      </c>
      <c r="D3389" s="4" t="str">
        <f>"苏二妹"</f>
        <v>苏二妹</v>
      </c>
      <c r="E3389" s="4" t="str">
        <f t="shared" si="131"/>
        <v>女</v>
      </c>
    </row>
    <row r="3390" spans="1:5" ht="30" customHeight="1">
      <c r="A3390" s="4">
        <v>3388</v>
      </c>
      <c r="B3390" s="4" t="str">
        <f>"39712022060316094288114"</f>
        <v>39712022060316094288114</v>
      </c>
      <c r="C3390" s="4" t="s">
        <v>28</v>
      </c>
      <c r="D3390" s="4" t="str">
        <f>"曾弘宇"</f>
        <v>曾弘宇</v>
      </c>
      <c r="E3390" s="4" t="str">
        <f>"男"</f>
        <v>男</v>
      </c>
    </row>
    <row r="3391" spans="1:5" ht="30" customHeight="1">
      <c r="A3391" s="4">
        <v>3389</v>
      </c>
      <c r="B3391" s="4" t="str">
        <f>"39712022060316172588120"</f>
        <v>39712022060316172588120</v>
      </c>
      <c r="C3391" s="4" t="s">
        <v>28</v>
      </c>
      <c r="D3391" s="4" t="str">
        <f>"梁杨"</f>
        <v>梁杨</v>
      </c>
      <c r="E3391" s="4" t="str">
        <f aca="true" t="shared" si="132" ref="E3391:E3411">"女"</f>
        <v>女</v>
      </c>
    </row>
    <row r="3392" spans="1:5" ht="30" customHeight="1">
      <c r="A3392" s="4">
        <v>3390</v>
      </c>
      <c r="B3392" s="4" t="str">
        <f>"39712022060316324588134"</f>
        <v>39712022060316324588134</v>
      </c>
      <c r="C3392" s="4" t="s">
        <v>28</v>
      </c>
      <c r="D3392" s="4" t="str">
        <f>"蔺芳艳"</f>
        <v>蔺芳艳</v>
      </c>
      <c r="E3392" s="4" t="str">
        <f t="shared" si="132"/>
        <v>女</v>
      </c>
    </row>
    <row r="3393" spans="1:5" ht="30" customHeight="1">
      <c r="A3393" s="4">
        <v>3391</v>
      </c>
      <c r="B3393" s="4" t="str">
        <f>"39712022060316594788151"</f>
        <v>39712022060316594788151</v>
      </c>
      <c r="C3393" s="4" t="s">
        <v>28</v>
      </c>
      <c r="D3393" s="4" t="str">
        <f>"叶夏雅"</f>
        <v>叶夏雅</v>
      </c>
      <c r="E3393" s="4" t="str">
        <f t="shared" si="132"/>
        <v>女</v>
      </c>
    </row>
    <row r="3394" spans="1:5" ht="30" customHeight="1">
      <c r="A3394" s="4">
        <v>3392</v>
      </c>
      <c r="B3394" s="4" t="str">
        <f>"39712022060317045488157"</f>
        <v>39712022060317045488157</v>
      </c>
      <c r="C3394" s="4" t="s">
        <v>28</v>
      </c>
      <c r="D3394" s="4" t="str">
        <f>"肖雅"</f>
        <v>肖雅</v>
      </c>
      <c r="E3394" s="4" t="str">
        <f t="shared" si="132"/>
        <v>女</v>
      </c>
    </row>
    <row r="3395" spans="1:5" ht="30" customHeight="1">
      <c r="A3395" s="4">
        <v>3393</v>
      </c>
      <c r="B3395" s="4" t="str">
        <f>"39712022060317255188178"</f>
        <v>39712022060317255188178</v>
      </c>
      <c r="C3395" s="4" t="s">
        <v>28</v>
      </c>
      <c r="D3395" s="4" t="str">
        <f>"肖媛媛"</f>
        <v>肖媛媛</v>
      </c>
      <c r="E3395" s="4" t="str">
        <f t="shared" si="132"/>
        <v>女</v>
      </c>
    </row>
    <row r="3396" spans="1:5" ht="30" customHeight="1">
      <c r="A3396" s="4">
        <v>3394</v>
      </c>
      <c r="B3396" s="4" t="str">
        <f>"39712022060317405188192"</f>
        <v>39712022060317405188192</v>
      </c>
      <c r="C3396" s="4" t="s">
        <v>28</v>
      </c>
      <c r="D3396" s="4" t="str">
        <f>"陈子妍"</f>
        <v>陈子妍</v>
      </c>
      <c r="E3396" s="4" t="str">
        <f t="shared" si="132"/>
        <v>女</v>
      </c>
    </row>
    <row r="3397" spans="1:5" ht="30" customHeight="1">
      <c r="A3397" s="4">
        <v>3395</v>
      </c>
      <c r="B3397" s="4" t="str">
        <f>"39712022060317435588197"</f>
        <v>39712022060317435588197</v>
      </c>
      <c r="C3397" s="4" t="s">
        <v>28</v>
      </c>
      <c r="D3397" s="4" t="str">
        <f>"叶芳慧"</f>
        <v>叶芳慧</v>
      </c>
      <c r="E3397" s="4" t="str">
        <f t="shared" si="132"/>
        <v>女</v>
      </c>
    </row>
    <row r="3398" spans="1:5" ht="30" customHeight="1">
      <c r="A3398" s="4">
        <v>3396</v>
      </c>
      <c r="B3398" s="4" t="str">
        <f>"39712022060317463088198"</f>
        <v>39712022060317463088198</v>
      </c>
      <c r="C3398" s="4" t="s">
        <v>28</v>
      </c>
      <c r="D3398" s="4" t="str">
        <f>"周丽娟"</f>
        <v>周丽娟</v>
      </c>
      <c r="E3398" s="4" t="str">
        <f t="shared" si="132"/>
        <v>女</v>
      </c>
    </row>
    <row r="3399" spans="1:5" ht="30" customHeight="1">
      <c r="A3399" s="4">
        <v>3397</v>
      </c>
      <c r="B3399" s="4" t="str">
        <f>"39712022060317514688204"</f>
        <v>39712022060317514688204</v>
      </c>
      <c r="C3399" s="4" t="s">
        <v>28</v>
      </c>
      <c r="D3399" s="4" t="str">
        <f>"苏佳苗"</f>
        <v>苏佳苗</v>
      </c>
      <c r="E3399" s="4" t="str">
        <f t="shared" si="132"/>
        <v>女</v>
      </c>
    </row>
    <row r="3400" spans="1:5" ht="30" customHeight="1">
      <c r="A3400" s="4">
        <v>3398</v>
      </c>
      <c r="B3400" s="4" t="str">
        <f>"39712022060317535288207"</f>
        <v>39712022060317535288207</v>
      </c>
      <c r="C3400" s="4" t="s">
        <v>28</v>
      </c>
      <c r="D3400" s="4" t="str">
        <f>"郑丽灵"</f>
        <v>郑丽灵</v>
      </c>
      <c r="E3400" s="4" t="str">
        <f t="shared" si="132"/>
        <v>女</v>
      </c>
    </row>
    <row r="3401" spans="1:5" ht="30" customHeight="1">
      <c r="A3401" s="4">
        <v>3399</v>
      </c>
      <c r="B3401" s="4" t="str">
        <f>"39712022060317553888211"</f>
        <v>39712022060317553888211</v>
      </c>
      <c r="C3401" s="4" t="s">
        <v>28</v>
      </c>
      <c r="D3401" s="4" t="str">
        <f>"郑雯婷"</f>
        <v>郑雯婷</v>
      </c>
      <c r="E3401" s="4" t="str">
        <f t="shared" si="132"/>
        <v>女</v>
      </c>
    </row>
    <row r="3402" spans="1:5" ht="30" customHeight="1">
      <c r="A3402" s="4">
        <v>3400</v>
      </c>
      <c r="B3402" s="4" t="str">
        <f>"39712022060318022788218"</f>
        <v>39712022060318022788218</v>
      </c>
      <c r="C3402" s="4" t="s">
        <v>28</v>
      </c>
      <c r="D3402" s="4" t="str">
        <f>"孔雁妮"</f>
        <v>孔雁妮</v>
      </c>
      <c r="E3402" s="4" t="str">
        <f t="shared" si="132"/>
        <v>女</v>
      </c>
    </row>
    <row r="3403" spans="1:5" ht="30" customHeight="1">
      <c r="A3403" s="4">
        <v>3401</v>
      </c>
      <c r="B3403" s="4" t="str">
        <f>"39712022060318074488224"</f>
        <v>39712022060318074488224</v>
      </c>
      <c r="C3403" s="4" t="s">
        <v>28</v>
      </c>
      <c r="D3403" s="4" t="str">
        <f>"齐星星"</f>
        <v>齐星星</v>
      </c>
      <c r="E3403" s="4" t="str">
        <f t="shared" si="132"/>
        <v>女</v>
      </c>
    </row>
    <row r="3404" spans="1:5" ht="30" customHeight="1">
      <c r="A3404" s="4">
        <v>3402</v>
      </c>
      <c r="B3404" s="4" t="str">
        <f>"39712022060318214188231"</f>
        <v>39712022060318214188231</v>
      </c>
      <c r="C3404" s="4" t="s">
        <v>28</v>
      </c>
      <c r="D3404" s="4" t="str">
        <f>"陈海云"</f>
        <v>陈海云</v>
      </c>
      <c r="E3404" s="4" t="str">
        <f t="shared" si="132"/>
        <v>女</v>
      </c>
    </row>
    <row r="3405" spans="1:5" ht="30" customHeight="1">
      <c r="A3405" s="4">
        <v>3403</v>
      </c>
      <c r="B3405" s="4" t="str">
        <f>"39712022060318444188252"</f>
        <v>39712022060318444188252</v>
      </c>
      <c r="C3405" s="4" t="s">
        <v>28</v>
      </c>
      <c r="D3405" s="4" t="str">
        <f>"许妙丽"</f>
        <v>许妙丽</v>
      </c>
      <c r="E3405" s="4" t="str">
        <f t="shared" si="132"/>
        <v>女</v>
      </c>
    </row>
    <row r="3406" spans="1:5" ht="30" customHeight="1">
      <c r="A3406" s="4">
        <v>3404</v>
      </c>
      <c r="B3406" s="4" t="str">
        <f>"39712022060319203388282"</f>
        <v>39712022060319203388282</v>
      </c>
      <c r="C3406" s="4" t="s">
        <v>28</v>
      </c>
      <c r="D3406" s="4" t="str">
        <f>"陈敏"</f>
        <v>陈敏</v>
      </c>
      <c r="E3406" s="4" t="str">
        <f t="shared" si="132"/>
        <v>女</v>
      </c>
    </row>
    <row r="3407" spans="1:5" ht="30" customHeight="1">
      <c r="A3407" s="4">
        <v>3405</v>
      </c>
      <c r="B3407" s="4" t="str">
        <f>"39712022060319213388284"</f>
        <v>39712022060319213388284</v>
      </c>
      <c r="C3407" s="4" t="s">
        <v>28</v>
      </c>
      <c r="D3407" s="4" t="str">
        <f>"杜海明"</f>
        <v>杜海明</v>
      </c>
      <c r="E3407" s="4" t="str">
        <f t="shared" si="132"/>
        <v>女</v>
      </c>
    </row>
    <row r="3408" spans="1:5" ht="30" customHeight="1">
      <c r="A3408" s="4">
        <v>3406</v>
      </c>
      <c r="B3408" s="4" t="str">
        <f>"39712022060319364388302"</f>
        <v>39712022060319364388302</v>
      </c>
      <c r="C3408" s="4" t="s">
        <v>28</v>
      </c>
      <c r="D3408" s="4" t="str">
        <f>"黄倩霞"</f>
        <v>黄倩霞</v>
      </c>
      <c r="E3408" s="4" t="str">
        <f t="shared" si="132"/>
        <v>女</v>
      </c>
    </row>
    <row r="3409" spans="1:5" ht="30" customHeight="1">
      <c r="A3409" s="4">
        <v>3407</v>
      </c>
      <c r="B3409" s="4" t="str">
        <f>"39712022060319574788318"</f>
        <v>39712022060319574788318</v>
      </c>
      <c r="C3409" s="4" t="s">
        <v>28</v>
      </c>
      <c r="D3409" s="4" t="str">
        <f>"王雪翠"</f>
        <v>王雪翠</v>
      </c>
      <c r="E3409" s="4" t="str">
        <f t="shared" si="132"/>
        <v>女</v>
      </c>
    </row>
    <row r="3410" spans="1:5" ht="30" customHeight="1">
      <c r="A3410" s="4">
        <v>3408</v>
      </c>
      <c r="B3410" s="4" t="str">
        <f>"39712022060320141788332"</f>
        <v>39712022060320141788332</v>
      </c>
      <c r="C3410" s="4" t="s">
        <v>28</v>
      </c>
      <c r="D3410" s="4" t="str">
        <f>"史凯悦"</f>
        <v>史凯悦</v>
      </c>
      <c r="E3410" s="4" t="str">
        <f t="shared" si="132"/>
        <v>女</v>
      </c>
    </row>
    <row r="3411" spans="1:5" ht="30" customHeight="1">
      <c r="A3411" s="4">
        <v>3409</v>
      </c>
      <c r="B3411" s="4" t="str">
        <f>"39712022060320361388351"</f>
        <v>39712022060320361388351</v>
      </c>
      <c r="C3411" s="4" t="s">
        <v>28</v>
      </c>
      <c r="D3411" s="4" t="str">
        <f>"郭伟伟"</f>
        <v>郭伟伟</v>
      </c>
      <c r="E3411" s="4" t="str">
        <f t="shared" si="132"/>
        <v>女</v>
      </c>
    </row>
    <row r="3412" spans="1:5" ht="30" customHeight="1">
      <c r="A3412" s="4">
        <v>3410</v>
      </c>
      <c r="B3412" s="4" t="str">
        <f>"39712022060320414488360"</f>
        <v>39712022060320414488360</v>
      </c>
      <c r="C3412" s="4" t="s">
        <v>28</v>
      </c>
      <c r="D3412" s="4" t="str">
        <f>"林明歌"</f>
        <v>林明歌</v>
      </c>
      <c r="E3412" s="4" t="str">
        <f>"男"</f>
        <v>男</v>
      </c>
    </row>
    <row r="3413" spans="1:5" ht="30" customHeight="1">
      <c r="A3413" s="4">
        <v>3411</v>
      </c>
      <c r="B3413" s="4" t="str">
        <f>"39712022060321023988375"</f>
        <v>39712022060321023988375</v>
      </c>
      <c r="C3413" s="4" t="s">
        <v>28</v>
      </c>
      <c r="D3413" s="4" t="str">
        <f>"郭敏洁"</f>
        <v>郭敏洁</v>
      </c>
      <c r="E3413" s="4" t="str">
        <f aca="true" t="shared" si="133" ref="E3413:E3421">"女"</f>
        <v>女</v>
      </c>
    </row>
    <row r="3414" spans="1:5" ht="30" customHeight="1">
      <c r="A3414" s="4">
        <v>3412</v>
      </c>
      <c r="B3414" s="4" t="str">
        <f>"39712022060321031088376"</f>
        <v>39712022060321031088376</v>
      </c>
      <c r="C3414" s="4" t="s">
        <v>28</v>
      </c>
      <c r="D3414" s="4" t="str">
        <f>"陈晓珊"</f>
        <v>陈晓珊</v>
      </c>
      <c r="E3414" s="4" t="str">
        <f t="shared" si="133"/>
        <v>女</v>
      </c>
    </row>
    <row r="3415" spans="1:5" ht="30" customHeight="1">
      <c r="A3415" s="4">
        <v>3413</v>
      </c>
      <c r="B3415" s="4" t="str">
        <f>"39712022060321202888395"</f>
        <v>39712022060321202888395</v>
      </c>
      <c r="C3415" s="4" t="s">
        <v>28</v>
      </c>
      <c r="D3415" s="4" t="str">
        <f>"林丽娟"</f>
        <v>林丽娟</v>
      </c>
      <c r="E3415" s="4" t="str">
        <f t="shared" si="133"/>
        <v>女</v>
      </c>
    </row>
    <row r="3416" spans="1:5" ht="30" customHeight="1">
      <c r="A3416" s="4">
        <v>3414</v>
      </c>
      <c r="B3416" s="4" t="str">
        <f>"39712022060321294288409"</f>
        <v>39712022060321294288409</v>
      </c>
      <c r="C3416" s="4" t="s">
        <v>28</v>
      </c>
      <c r="D3416" s="4" t="str">
        <f>"马菁玉"</f>
        <v>马菁玉</v>
      </c>
      <c r="E3416" s="4" t="str">
        <f t="shared" si="133"/>
        <v>女</v>
      </c>
    </row>
    <row r="3417" spans="1:5" ht="30" customHeight="1">
      <c r="A3417" s="4">
        <v>3415</v>
      </c>
      <c r="B3417" s="4" t="str">
        <f>"39712022060321442988424"</f>
        <v>39712022060321442988424</v>
      </c>
      <c r="C3417" s="4" t="s">
        <v>28</v>
      </c>
      <c r="D3417" s="4" t="str">
        <f>"钟小静"</f>
        <v>钟小静</v>
      </c>
      <c r="E3417" s="4" t="str">
        <f t="shared" si="133"/>
        <v>女</v>
      </c>
    </row>
    <row r="3418" spans="1:5" ht="30" customHeight="1">
      <c r="A3418" s="4">
        <v>3416</v>
      </c>
      <c r="B3418" s="4" t="str">
        <f>"39712022060321464588428"</f>
        <v>39712022060321464588428</v>
      </c>
      <c r="C3418" s="4" t="s">
        <v>28</v>
      </c>
      <c r="D3418" s="4" t="str">
        <f>"彭美星"</f>
        <v>彭美星</v>
      </c>
      <c r="E3418" s="4" t="str">
        <f t="shared" si="133"/>
        <v>女</v>
      </c>
    </row>
    <row r="3419" spans="1:5" ht="30" customHeight="1">
      <c r="A3419" s="4">
        <v>3417</v>
      </c>
      <c r="B3419" s="4" t="str">
        <f>"39712022060321483088429"</f>
        <v>39712022060321483088429</v>
      </c>
      <c r="C3419" s="4" t="s">
        <v>28</v>
      </c>
      <c r="D3419" s="4" t="str">
        <f>"鲁雅琼"</f>
        <v>鲁雅琼</v>
      </c>
      <c r="E3419" s="4" t="str">
        <f t="shared" si="133"/>
        <v>女</v>
      </c>
    </row>
    <row r="3420" spans="1:5" ht="30" customHeight="1">
      <c r="A3420" s="4">
        <v>3418</v>
      </c>
      <c r="B3420" s="4" t="str">
        <f>"39712022060321521588435"</f>
        <v>39712022060321521588435</v>
      </c>
      <c r="C3420" s="4" t="s">
        <v>28</v>
      </c>
      <c r="D3420" s="4" t="str">
        <f>"陈心怡"</f>
        <v>陈心怡</v>
      </c>
      <c r="E3420" s="4" t="str">
        <f t="shared" si="133"/>
        <v>女</v>
      </c>
    </row>
    <row r="3421" spans="1:5" ht="30" customHeight="1">
      <c r="A3421" s="4">
        <v>3419</v>
      </c>
      <c r="B3421" s="4" t="str">
        <f>"39712022060321552588439"</f>
        <v>39712022060321552588439</v>
      </c>
      <c r="C3421" s="4" t="s">
        <v>28</v>
      </c>
      <c r="D3421" s="4" t="str">
        <f>"林杨"</f>
        <v>林杨</v>
      </c>
      <c r="E3421" s="4" t="str">
        <f t="shared" si="133"/>
        <v>女</v>
      </c>
    </row>
    <row r="3422" spans="1:5" ht="30" customHeight="1">
      <c r="A3422" s="4">
        <v>3420</v>
      </c>
      <c r="B3422" s="4" t="str">
        <f>"39712022060321561488440"</f>
        <v>39712022060321561488440</v>
      </c>
      <c r="C3422" s="4" t="s">
        <v>28</v>
      </c>
      <c r="D3422" s="4" t="str">
        <f>"李大樊"</f>
        <v>李大樊</v>
      </c>
      <c r="E3422" s="4" t="str">
        <f>"男"</f>
        <v>男</v>
      </c>
    </row>
    <row r="3423" spans="1:5" ht="30" customHeight="1">
      <c r="A3423" s="4">
        <v>3421</v>
      </c>
      <c r="B3423" s="4" t="str">
        <f>"39712022060321573188442"</f>
        <v>39712022060321573188442</v>
      </c>
      <c r="C3423" s="4" t="s">
        <v>28</v>
      </c>
      <c r="D3423" s="4" t="str">
        <f>"陈春韵"</f>
        <v>陈春韵</v>
      </c>
      <c r="E3423" s="4" t="str">
        <f aca="true" t="shared" si="134" ref="E3423:E3429">"女"</f>
        <v>女</v>
      </c>
    </row>
    <row r="3424" spans="1:5" ht="30" customHeight="1">
      <c r="A3424" s="4">
        <v>3422</v>
      </c>
      <c r="B3424" s="4" t="str">
        <f>"39712022060322061888451"</f>
        <v>39712022060322061888451</v>
      </c>
      <c r="C3424" s="4" t="s">
        <v>28</v>
      </c>
      <c r="D3424" s="4" t="str">
        <f>"卢裕苗"</f>
        <v>卢裕苗</v>
      </c>
      <c r="E3424" s="4" t="str">
        <f t="shared" si="134"/>
        <v>女</v>
      </c>
    </row>
    <row r="3425" spans="1:5" ht="30" customHeight="1">
      <c r="A3425" s="4">
        <v>3423</v>
      </c>
      <c r="B3425" s="4" t="str">
        <f>"39712022060322130688457"</f>
        <v>39712022060322130688457</v>
      </c>
      <c r="C3425" s="4" t="s">
        <v>28</v>
      </c>
      <c r="D3425" s="4" t="str">
        <f>"刘虹杏"</f>
        <v>刘虹杏</v>
      </c>
      <c r="E3425" s="4" t="str">
        <f t="shared" si="134"/>
        <v>女</v>
      </c>
    </row>
    <row r="3426" spans="1:5" ht="30" customHeight="1">
      <c r="A3426" s="4">
        <v>3424</v>
      </c>
      <c r="B3426" s="4" t="str">
        <f>"39712022060322200788464"</f>
        <v>39712022060322200788464</v>
      </c>
      <c r="C3426" s="4" t="s">
        <v>28</v>
      </c>
      <c r="D3426" s="4" t="str">
        <f>"陈思颖"</f>
        <v>陈思颖</v>
      </c>
      <c r="E3426" s="4" t="str">
        <f t="shared" si="134"/>
        <v>女</v>
      </c>
    </row>
    <row r="3427" spans="1:5" ht="30" customHeight="1">
      <c r="A3427" s="4">
        <v>3425</v>
      </c>
      <c r="B3427" s="4" t="str">
        <f>"39712022060322203888465"</f>
        <v>39712022060322203888465</v>
      </c>
      <c r="C3427" s="4" t="s">
        <v>28</v>
      </c>
      <c r="D3427" s="4" t="str">
        <f>"杜菲玲"</f>
        <v>杜菲玲</v>
      </c>
      <c r="E3427" s="4" t="str">
        <f t="shared" si="134"/>
        <v>女</v>
      </c>
    </row>
    <row r="3428" spans="1:5" ht="30" customHeight="1">
      <c r="A3428" s="4">
        <v>3426</v>
      </c>
      <c r="B3428" s="4" t="str">
        <f>"39712022060322305288474"</f>
        <v>39712022060322305288474</v>
      </c>
      <c r="C3428" s="4" t="s">
        <v>28</v>
      </c>
      <c r="D3428" s="4" t="str">
        <f>"钟美琪"</f>
        <v>钟美琪</v>
      </c>
      <c r="E3428" s="4" t="str">
        <f t="shared" si="134"/>
        <v>女</v>
      </c>
    </row>
    <row r="3429" spans="1:5" ht="30" customHeight="1">
      <c r="A3429" s="4">
        <v>3427</v>
      </c>
      <c r="B3429" s="4" t="str">
        <f>"39712022060322312288477"</f>
        <v>39712022060322312288477</v>
      </c>
      <c r="C3429" s="4" t="s">
        <v>28</v>
      </c>
      <c r="D3429" s="4" t="str">
        <f>"王海珍"</f>
        <v>王海珍</v>
      </c>
      <c r="E3429" s="4" t="str">
        <f t="shared" si="134"/>
        <v>女</v>
      </c>
    </row>
    <row r="3430" spans="1:5" ht="30" customHeight="1">
      <c r="A3430" s="4">
        <v>3428</v>
      </c>
      <c r="B3430" s="4" t="str">
        <f>"39712022060322375188485"</f>
        <v>39712022060322375188485</v>
      </c>
      <c r="C3430" s="4" t="s">
        <v>28</v>
      </c>
      <c r="D3430" s="4" t="str">
        <f>"崔开驹"</f>
        <v>崔开驹</v>
      </c>
      <c r="E3430" s="4" t="str">
        <f>"男"</f>
        <v>男</v>
      </c>
    </row>
    <row r="3431" spans="1:5" ht="30" customHeight="1">
      <c r="A3431" s="4">
        <v>3429</v>
      </c>
      <c r="B3431" s="4" t="str">
        <f>"39712022060322515588502"</f>
        <v>39712022060322515588502</v>
      </c>
      <c r="C3431" s="4" t="s">
        <v>28</v>
      </c>
      <c r="D3431" s="4" t="str">
        <f>"王海霞"</f>
        <v>王海霞</v>
      </c>
      <c r="E3431" s="4" t="str">
        <f aca="true" t="shared" si="135" ref="E3431:E3475">"女"</f>
        <v>女</v>
      </c>
    </row>
    <row r="3432" spans="1:5" ht="30" customHeight="1">
      <c r="A3432" s="4">
        <v>3430</v>
      </c>
      <c r="B3432" s="4" t="str">
        <f>"39712022060322525088503"</f>
        <v>39712022060322525088503</v>
      </c>
      <c r="C3432" s="4" t="s">
        <v>28</v>
      </c>
      <c r="D3432" s="4" t="str">
        <f>"郑文竹"</f>
        <v>郑文竹</v>
      </c>
      <c r="E3432" s="4" t="str">
        <f t="shared" si="135"/>
        <v>女</v>
      </c>
    </row>
    <row r="3433" spans="1:5" ht="30" customHeight="1">
      <c r="A3433" s="4">
        <v>3431</v>
      </c>
      <c r="B3433" s="4" t="str">
        <f>"39712022060322525388504"</f>
        <v>39712022060322525388504</v>
      </c>
      <c r="C3433" s="4" t="s">
        <v>28</v>
      </c>
      <c r="D3433" s="4" t="str">
        <f>"王转珠"</f>
        <v>王转珠</v>
      </c>
      <c r="E3433" s="4" t="str">
        <f t="shared" si="135"/>
        <v>女</v>
      </c>
    </row>
    <row r="3434" spans="1:5" ht="30" customHeight="1">
      <c r="A3434" s="4">
        <v>3432</v>
      </c>
      <c r="B3434" s="4" t="str">
        <f>"39712022060323135388521"</f>
        <v>39712022060323135388521</v>
      </c>
      <c r="C3434" s="4" t="s">
        <v>28</v>
      </c>
      <c r="D3434" s="4" t="str">
        <f>"王丽梅"</f>
        <v>王丽梅</v>
      </c>
      <c r="E3434" s="4" t="str">
        <f t="shared" si="135"/>
        <v>女</v>
      </c>
    </row>
    <row r="3435" spans="1:5" ht="30" customHeight="1">
      <c r="A3435" s="4">
        <v>3433</v>
      </c>
      <c r="B3435" s="4" t="str">
        <f>"39712022060323251288526"</f>
        <v>39712022060323251288526</v>
      </c>
      <c r="C3435" s="4" t="s">
        <v>28</v>
      </c>
      <c r="D3435" s="4" t="str">
        <f>"郭小榴"</f>
        <v>郭小榴</v>
      </c>
      <c r="E3435" s="4" t="str">
        <f t="shared" si="135"/>
        <v>女</v>
      </c>
    </row>
    <row r="3436" spans="1:5" ht="30" customHeight="1">
      <c r="A3436" s="4">
        <v>3434</v>
      </c>
      <c r="B3436" s="4" t="str">
        <f>"39712022060323353388531"</f>
        <v>39712022060323353388531</v>
      </c>
      <c r="C3436" s="4" t="s">
        <v>28</v>
      </c>
      <c r="D3436" s="4" t="str">
        <f>"林虹余"</f>
        <v>林虹余</v>
      </c>
      <c r="E3436" s="4" t="str">
        <f t="shared" si="135"/>
        <v>女</v>
      </c>
    </row>
    <row r="3437" spans="1:5" ht="30" customHeight="1">
      <c r="A3437" s="4">
        <v>3435</v>
      </c>
      <c r="B3437" s="4" t="str">
        <f>"39712022060323375088532"</f>
        <v>39712022060323375088532</v>
      </c>
      <c r="C3437" s="4" t="s">
        <v>28</v>
      </c>
      <c r="D3437" s="4" t="str">
        <f>"陈新"</f>
        <v>陈新</v>
      </c>
      <c r="E3437" s="4" t="str">
        <f t="shared" si="135"/>
        <v>女</v>
      </c>
    </row>
    <row r="3438" spans="1:5" ht="30" customHeight="1">
      <c r="A3438" s="4">
        <v>3436</v>
      </c>
      <c r="B3438" s="4" t="str">
        <f>"39712022060323434888537"</f>
        <v>39712022060323434888537</v>
      </c>
      <c r="C3438" s="4" t="s">
        <v>28</v>
      </c>
      <c r="D3438" s="4" t="str">
        <f>"覃小视"</f>
        <v>覃小视</v>
      </c>
      <c r="E3438" s="4" t="str">
        <f t="shared" si="135"/>
        <v>女</v>
      </c>
    </row>
    <row r="3439" spans="1:5" ht="30" customHeight="1">
      <c r="A3439" s="4">
        <v>3437</v>
      </c>
      <c r="B3439" s="4" t="str">
        <f>"39712022060400095788549"</f>
        <v>39712022060400095788549</v>
      </c>
      <c r="C3439" s="4" t="s">
        <v>28</v>
      </c>
      <c r="D3439" s="4" t="str">
        <f>"邱钰欣"</f>
        <v>邱钰欣</v>
      </c>
      <c r="E3439" s="4" t="str">
        <f t="shared" si="135"/>
        <v>女</v>
      </c>
    </row>
    <row r="3440" spans="1:5" ht="30" customHeight="1">
      <c r="A3440" s="4">
        <v>3438</v>
      </c>
      <c r="B3440" s="4" t="str">
        <f>"39712022060400161988552"</f>
        <v>39712022060400161988552</v>
      </c>
      <c r="C3440" s="4" t="s">
        <v>28</v>
      </c>
      <c r="D3440" s="4" t="str">
        <f>"李艳君"</f>
        <v>李艳君</v>
      </c>
      <c r="E3440" s="4" t="str">
        <f t="shared" si="135"/>
        <v>女</v>
      </c>
    </row>
    <row r="3441" spans="1:5" ht="30" customHeight="1">
      <c r="A3441" s="4">
        <v>3439</v>
      </c>
      <c r="B3441" s="4" t="str">
        <f>"39712022060400474988562"</f>
        <v>39712022060400474988562</v>
      </c>
      <c r="C3441" s="4" t="s">
        <v>28</v>
      </c>
      <c r="D3441" s="4" t="str">
        <f>"张雪芳"</f>
        <v>张雪芳</v>
      </c>
      <c r="E3441" s="4" t="str">
        <f t="shared" si="135"/>
        <v>女</v>
      </c>
    </row>
    <row r="3442" spans="1:5" ht="30" customHeight="1">
      <c r="A3442" s="4">
        <v>3440</v>
      </c>
      <c r="B3442" s="4" t="str">
        <f>"39712022060401032288568"</f>
        <v>39712022060401032288568</v>
      </c>
      <c r="C3442" s="4" t="s">
        <v>28</v>
      </c>
      <c r="D3442" s="4" t="str">
        <f>"符小妹"</f>
        <v>符小妹</v>
      </c>
      <c r="E3442" s="4" t="str">
        <f t="shared" si="135"/>
        <v>女</v>
      </c>
    </row>
    <row r="3443" spans="1:5" ht="30" customHeight="1">
      <c r="A3443" s="4">
        <v>3441</v>
      </c>
      <c r="B3443" s="4" t="str">
        <f>"39712022060407520088590"</f>
        <v>39712022060407520088590</v>
      </c>
      <c r="C3443" s="4" t="s">
        <v>28</v>
      </c>
      <c r="D3443" s="4" t="str">
        <f>"陈秋香"</f>
        <v>陈秋香</v>
      </c>
      <c r="E3443" s="4" t="str">
        <f t="shared" si="135"/>
        <v>女</v>
      </c>
    </row>
    <row r="3444" spans="1:5" ht="30" customHeight="1">
      <c r="A3444" s="4">
        <v>3442</v>
      </c>
      <c r="B3444" s="4" t="str">
        <f>"39712022060408201288601"</f>
        <v>39712022060408201288601</v>
      </c>
      <c r="C3444" s="4" t="s">
        <v>28</v>
      </c>
      <c r="D3444" s="4" t="str">
        <f>"陈雨欣"</f>
        <v>陈雨欣</v>
      </c>
      <c r="E3444" s="4" t="str">
        <f t="shared" si="135"/>
        <v>女</v>
      </c>
    </row>
    <row r="3445" spans="1:5" ht="30" customHeight="1">
      <c r="A3445" s="4">
        <v>3443</v>
      </c>
      <c r="B3445" s="4" t="str">
        <f>"39712022060408243988606"</f>
        <v>39712022060408243988606</v>
      </c>
      <c r="C3445" s="4" t="s">
        <v>28</v>
      </c>
      <c r="D3445" s="4" t="str">
        <f>"林丽洁"</f>
        <v>林丽洁</v>
      </c>
      <c r="E3445" s="4" t="str">
        <f t="shared" si="135"/>
        <v>女</v>
      </c>
    </row>
    <row r="3446" spans="1:5" ht="30" customHeight="1">
      <c r="A3446" s="4">
        <v>3444</v>
      </c>
      <c r="B3446" s="4" t="str">
        <f>"39712022060408554988620"</f>
        <v>39712022060408554988620</v>
      </c>
      <c r="C3446" s="4" t="s">
        <v>28</v>
      </c>
      <c r="D3446" s="4" t="str">
        <f>"张昌珍"</f>
        <v>张昌珍</v>
      </c>
      <c r="E3446" s="4" t="str">
        <f t="shared" si="135"/>
        <v>女</v>
      </c>
    </row>
    <row r="3447" spans="1:5" ht="30" customHeight="1">
      <c r="A3447" s="4">
        <v>3445</v>
      </c>
      <c r="B3447" s="4" t="str">
        <f>"39712022060409002088621"</f>
        <v>39712022060409002088621</v>
      </c>
      <c r="C3447" s="4" t="s">
        <v>28</v>
      </c>
      <c r="D3447" s="4" t="str">
        <f>"张桐嘉"</f>
        <v>张桐嘉</v>
      </c>
      <c r="E3447" s="4" t="str">
        <f t="shared" si="135"/>
        <v>女</v>
      </c>
    </row>
    <row r="3448" spans="1:5" ht="30" customHeight="1">
      <c r="A3448" s="4">
        <v>3446</v>
      </c>
      <c r="B3448" s="4" t="str">
        <f>"39712022060409075388627"</f>
        <v>39712022060409075388627</v>
      </c>
      <c r="C3448" s="4" t="s">
        <v>28</v>
      </c>
      <c r="D3448" s="4" t="str">
        <f>"陈体霞"</f>
        <v>陈体霞</v>
      </c>
      <c r="E3448" s="4" t="str">
        <f t="shared" si="135"/>
        <v>女</v>
      </c>
    </row>
    <row r="3449" spans="1:5" ht="30" customHeight="1">
      <c r="A3449" s="4">
        <v>3447</v>
      </c>
      <c r="B3449" s="4" t="str">
        <f>"39712022060409102088628"</f>
        <v>39712022060409102088628</v>
      </c>
      <c r="C3449" s="4" t="s">
        <v>28</v>
      </c>
      <c r="D3449" s="4" t="str">
        <f>"何妮"</f>
        <v>何妮</v>
      </c>
      <c r="E3449" s="4" t="str">
        <f t="shared" si="135"/>
        <v>女</v>
      </c>
    </row>
    <row r="3450" spans="1:5" ht="30" customHeight="1">
      <c r="A3450" s="4">
        <v>3448</v>
      </c>
      <c r="B3450" s="4" t="str">
        <f>"39712022060409411188652"</f>
        <v>39712022060409411188652</v>
      </c>
      <c r="C3450" s="4" t="s">
        <v>28</v>
      </c>
      <c r="D3450" s="4" t="str">
        <f>"彭舒凤"</f>
        <v>彭舒凤</v>
      </c>
      <c r="E3450" s="4" t="str">
        <f t="shared" si="135"/>
        <v>女</v>
      </c>
    </row>
    <row r="3451" spans="1:5" ht="30" customHeight="1">
      <c r="A3451" s="4">
        <v>3449</v>
      </c>
      <c r="B3451" s="4" t="str">
        <f>"39712022060409412488654"</f>
        <v>39712022060409412488654</v>
      </c>
      <c r="C3451" s="4" t="s">
        <v>28</v>
      </c>
      <c r="D3451" s="4" t="str">
        <f>"罗倩莹"</f>
        <v>罗倩莹</v>
      </c>
      <c r="E3451" s="4" t="str">
        <f t="shared" si="135"/>
        <v>女</v>
      </c>
    </row>
    <row r="3452" spans="1:5" ht="30" customHeight="1">
      <c r="A3452" s="4">
        <v>3450</v>
      </c>
      <c r="B3452" s="4" t="str">
        <f>"39712022060409470788661"</f>
        <v>39712022060409470788661</v>
      </c>
      <c r="C3452" s="4" t="s">
        <v>28</v>
      </c>
      <c r="D3452" s="4" t="str">
        <f>"吴小巧"</f>
        <v>吴小巧</v>
      </c>
      <c r="E3452" s="4" t="str">
        <f t="shared" si="135"/>
        <v>女</v>
      </c>
    </row>
    <row r="3453" spans="1:5" ht="30" customHeight="1">
      <c r="A3453" s="4">
        <v>3451</v>
      </c>
      <c r="B3453" s="4" t="str">
        <f>"39712022060409591188673"</f>
        <v>39712022060409591188673</v>
      </c>
      <c r="C3453" s="4" t="s">
        <v>28</v>
      </c>
      <c r="D3453" s="4" t="str">
        <f>"陈冰"</f>
        <v>陈冰</v>
      </c>
      <c r="E3453" s="4" t="str">
        <f t="shared" si="135"/>
        <v>女</v>
      </c>
    </row>
    <row r="3454" spans="1:5" ht="30" customHeight="1">
      <c r="A3454" s="4">
        <v>3452</v>
      </c>
      <c r="B3454" s="4" t="str">
        <f>"39712022060410011188679"</f>
        <v>39712022060410011188679</v>
      </c>
      <c r="C3454" s="4" t="s">
        <v>28</v>
      </c>
      <c r="D3454" s="4" t="str">
        <f>"王玺"</f>
        <v>王玺</v>
      </c>
      <c r="E3454" s="4" t="str">
        <f t="shared" si="135"/>
        <v>女</v>
      </c>
    </row>
    <row r="3455" spans="1:5" ht="30" customHeight="1">
      <c r="A3455" s="4">
        <v>3453</v>
      </c>
      <c r="B3455" s="4" t="str">
        <f>"39712022060410020288680"</f>
        <v>39712022060410020288680</v>
      </c>
      <c r="C3455" s="4" t="s">
        <v>28</v>
      </c>
      <c r="D3455" s="4" t="str">
        <f>"何珍珍"</f>
        <v>何珍珍</v>
      </c>
      <c r="E3455" s="4" t="str">
        <f t="shared" si="135"/>
        <v>女</v>
      </c>
    </row>
    <row r="3456" spans="1:5" ht="30" customHeight="1">
      <c r="A3456" s="4">
        <v>3454</v>
      </c>
      <c r="B3456" s="4" t="str">
        <f>"39712022060410043188682"</f>
        <v>39712022060410043188682</v>
      </c>
      <c r="C3456" s="4" t="s">
        <v>28</v>
      </c>
      <c r="D3456" s="4" t="str">
        <f>"陈芬"</f>
        <v>陈芬</v>
      </c>
      <c r="E3456" s="4" t="str">
        <f t="shared" si="135"/>
        <v>女</v>
      </c>
    </row>
    <row r="3457" spans="1:5" ht="30" customHeight="1">
      <c r="A3457" s="4">
        <v>3455</v>
      </c>
      <c r="B3457" s="4" t="str">
        <f>"39712022060410094988699"</f>
        <v>39712022060410094988699</v>
      </c>
      <c r="C3457" s="4" t="s">
        <v>28</v>
      </c>
      <c r="D3457" s="4" t="str">
        <f>"潘科言"</f>
        <v>潘科言</v>
      </c>
      <c r="E3457" s="4" t="str">
        <f t="shared" si="135"/>
        <v>女</v>
      </c>
    </row>
    <row r="3458" spans="1:5" ht="30" customHeight="1">
      <c r="A3458" s="4">
        <v>3456</v>
      </c>
      <c r="B3458" s="4" t="str">
        <f>"39712022060410162788705"</f>
        <v>39712022060410162788705</v>
      </c>
      <c r="C3458" s="4" t="s">
        <v>28</v>
      </c>
      <c r="D3458" s="4" t="str">
        <f>"陈苑瑜"</f>
        <v>陈苑瑜</v>
      </c>
      <c r="E3458" s="4" t="str">
        <f t="shared" si="135"/>
        <v>女</v>
      </c>
    </row>
    <row r="3459" spans="1:5" ht="30" customHeight="1">
      <c r="A3459" s="4">
        <v>3457</v>
      </c>
      <c r="B3459" s="4" t="str">
        <f>"39712022060410172388707"</f>
        <v>39712022060410172388707</v>
      </c>
      <c r="C3459" s="4" t="s">
        <v>28</v>
      </c>
      <c r="D3459" s="4" t="str">
        <f>"陈颖"</f>
        <v>陈颖</v>
      </c>
      <c r="E3459" s="4" t="str">
        <f t="shared" si="135"/>
        <v>女</v>
      </c>
    </row>
    <row r="3460" spans="1:5" ht="30" customHeight="1">
      <c r="A3460" s="4">
        <v>3458</v>
      </c>
      <c r="B3460" s="4" t="str">
        <f>"39712022060410550888765"</f>
        <v>39712022060410550888765</v>
      </c>
      <c r="C3460" s="4" t="s">
        <v>28</v>
      </c>
      <c r="D3460" s="4" t="str">
        <f>"蒲高茜"</f>
        <v>蒲高茜</v>
      </c>
      <c r="E3460" s="4" t="str">
        <f t="shared" si="135"/>
        <v>女</v>
      </c>
    </row>
    <row r="3461" spans="1:5" ht="30" customHeight="1">
      <c r="A3461" s="4">
        <v>3459</v>
      </c>
      <c r="B3461" s="4" t="str">
        <f>"39712022060410590888767"</f>
        <v>39712022060410590888767</v>
      </c>
      <c r="C3461" s="4" t="s">
        <v>28</v>
      </c>
      <c r="D3461" s="4" t="str">
        <f>"蒙环贞"</f>
        <v>蒙环贞</v>
      </c>
      <c r="E3461" s="4" t="str">
        <f t="shared" si="135"/>
        <v>女</v>
      </c>
    </row>
    <row r="3462" spans="1:5" ht="30" customHeight="1">
      <c r="A3462" s="4">
        <v>3460</v>
      </c>
      <c r="B3462" s="4" t="str">
        <f>"39712022060411041288776"</f>
        <v>39712022060411041288776</v>
      </c>
      <c r="C3462" s="4" t="s">
        <v>28</v>
      </c>
      <c r="D3462" s="4" t="str">
        <f>"李欣凤"</f>
        <v>李欣凤</v>
      </c>
      <c r="E3462" s="4" t="str">
        <f t="shared" si="135"/>
        <v>女</v>
      </c>
    </row>
    <row r="3463" spans="1:5" ht="30" customHeight="1">
      <c r="A3463" s="4">
        <v>3461</v>
      </c>
      <c r="B3463" s="4" t="str">
        <f>"39712022060411111588789"</f>
        <v>39712022060411111588789</v>
      </c>
      <c r="C3463" s="4" t="s">
        <v>28</v>
      </c>
      <c r="D3463" s="4" t="str">
        <f>"赵青翠"</f>
        <v>赵青翠</v>
      </c>
      <c r="E3463" s="4" t="str">
        <f t="shared" si="135"/>
        <v>女</v>
      </c>
    </row>
    <row r="3464" spans="1:5" ht="30" customHeight="1">
      <c r="A3464" s="4">
        <v>3462</v>
      </c>
      <c r="B3464" s="4" t="str">
        <f>"39712022060411460788821"</f>
        <v>39712022060411460788821</v>
      </c>
      <c r="C3464" s="4" t="s">
        <v>28</v>
      </c>
      <c r="D3464" s="4" t="str">
        <f>"符芳秀"</f>
        <v>符芳秀</v>
      </c>
      <c r="E3464" s="4" t="str">
        <f t="shared" si="135"/>
        <v>女</v>
      </c>
    </row>
    <row r="3465" spans="1:5" ht="30" customHeight="1">
      <c r="A3465" s="4">
        <v>3463</v>
      </c>
      <c r="B3465" s="4" t="str">
        <f>"39712022060411462188822"</f>
        <v>39712022060411462188822</v>
      </c>
      <c r="C3465" s="4" t="s">
        <v>28</v>
      </c>
      <c r="D3465" s="4" t="str">
        <f>"羊春燕"</f>
        <v>羊春燕</v>
      </c>
      <c r="E3465" s="4" t="str">
        <f t="shared" si="135"/>
        <v>女</v>
      </c>
    </row>
    <row r="3466" spans="1:5" ht="30" customHeight="1">
      <c r="A3466" s="4">
        <v>3464</v>
      </c>
      <c r="B3466" s="4" t="str">
        <f>"39712022060411543488836"</f>
        <v>39712022060411543488836</v>
      </c>
      <c r="C3466" s="4" t="s">
        <v>28</v>
      </c>
      <c r="D3466" s="4" t="str">
        <f>"周银宇"</f>
        <v>周银宇</v>
      </c>
      <c r="E3466" s="4" t="str">
        <f t="shared" si="135"/>
        <v>女</v>
      </c>
    </row>
    <row r="3467" spans="1:5" ht="30" customHeight="1">
      <c r="A3467" s="4">
        <v>3465</v>
      </c>
      <c r="B3467" s="4" t="str">
        <f>"39712022060412191088850"</f>
        <v>39712022060412191088850</v>
      </c>
      <c r="C3467" s="4" t="s">
        <v>28</v>
      </c>
      <c r="D3467" s="4" t="str">
        <f>"陈洁"</f>
        <v>陈洁</v>
      </c>
      <c r="E3467" s="4" t="str">
        <f t="shared" si="135"/>
        <v>女</v>
      </c>
    </row>
    <row r="3468" spans="1:5" ht="30" customHeight="1">
      <c r="A3468" s="4">
        <v>3466</v>
      </c>
      <c r="B3468" s="4" t="str">
        <f>"39712022060412214088853"</f>
        <v>39712022060412214088853</v>
      </c>
      <c r="C3468" s="4" t="s">
        <v>28</v>
      </c>
      <c r="D3468" s="4" t="str">
        <f>"黄颖"</f>
        <v>黄颖</v>
      </c>
      <c r="E3468" s="4" t="str">
        <f t="shared" si="135"/>
        <v>女</v>
      </c>
    </row>
    <row r="3469" spans="1:5" ht="30" customHeight="1">
      <c r="A3469" s="4">
        <v>3467</v>
      </c>
      <c r="B3469" s="4" t="str">
        <f>"39712022060412445388877"</f>
        <v>39712022060412445388877</v>
      </c>
      <c r="C3469" s="4" t="s">
        <v>28</v>
      </c>
      <c r="D3469" s="4" t="str">
        <f>"蔡凡"</f>
        <v>蔡凡</v>
      </c>
      <c r="E3469" s="4" t="str">
        <f t="shared" si="135"/>
        <v>女</v>
      </c>
    </row>
    <row r="3470" spans="1:5" ht="30" customHeight="1">
      <c r="A3470" s="4">
        <v>3468</v>
      </c>
      <c r="B3470" s="4" t="str">
        <f>"39712022060412502088888"</f>
        <v>39712022060412502088888</v>
      </c>
      <c r="C3470" s="4" t="s">
        <v>28</v>
      </c>
      <c r="D3470" s="4" t="str">
        <f>"马晓欣"</f>
        <v>马晓欣</v>
      </c>
      <c r="E3470" s="4" t="str">
        <f t="shared" si="135"/>
        <v>女</v>
      </c>
    </row>
    <row r="3471" spans="1:5" ht="30" customHeight="1">
      <c r="A3471" s="4">
        <v>3469</v>
      </c>
      <c r="B3471" s="4" t="str">
        <f>"39712022060413231988919"</f>
        <v>39712022060413231988919</v>
      </c>
      <c r="C3471" s="4" t="s">
        <v>28</v>
      </c>
      <c r="D3471" s="4" t="str">
        <f>"吴燕南"</f>
        <v>吴燕南</v>
      </c>
      <c r="E3471" s="4" t="str">
        <f t="shared" si="135"/>
        <v>女</v>
      </c>
    </row>
    <row r="3472" spans="1:5" ht="30" customHeight="1">
      <c r="A3472" s="4">
        <v>3470</v>
      </c>
      <c r="B3472" s="4" t="str">
        <f>"39712022060413402488924"</f>
        <v>39712022060413402488924</v>
      </c>
      <c r="C3472" s="4" t="s">
        <v>28</v>
      </c>
      <c r="D3472" s="4" t="str">
        <f>"黄欢怡"</f>
        <v>黄欢怡</v>
      </c>
      <c r="E3472" s="4" t="str">
        <f t="shared" si="135"/>
        <v>女</v>
      </c>
    </row>
    <row r="3473" spans="1:5" ht="30" customHeight="1">
      <c r="A3473" s="4">
        <v>3471</v>
      </c>
      <c r="B3473" s="4" t="str">
        <f>"39712022060413533188934"</f>
        <v>39712022060413533188934</v>
      </c>
      <c r="C3473" s="4" t="s">
        <v>28</v>
      </c>
      <c r="D3473" s="4" t="str">
        <f>"吴欣"</f>
        <v>吴欣</v>
      </c>
      <c r="E3473" s="4" t="str">
        <f t="shared" si="135"/>
        <v>女</v>
      </c>
    </row>
    <row r="3474" spans="1:5" ht="30" customHeight="1">
      <c r="A3474" s="4">
        <v>3472</v>
      </c>
      <c r="B3474" s="4" t="str">
        <f>"39712022060413580788935"</f>
        <v>39712022060413580788935</v>
      </c>
      <c r="C3474" s="4" t="s">
        <v>28</v>
      </c>
      <c r="D3474" s="4" t="str">
        <f>"刘海霞"</f>
        <v>刘海霞</v>
      </c>
      <c r="E3474" s="4" t="str">
        <f t="shared" si="135"/>
        <v>女</v>
      </c>
    </row>
    <row r="3475" spans="1:5" ht="30" customHeight="1">
      <c r="A3475" s="4">
        <v>3473</v>
      </c>
      <c r="B3475" s="4" t="str">
        <f>"39712022060414075488942"</f>
        <v>39712022060414075488942</v>
      </c>
      <c r="C3475" s="4" t="s">
        <v>28</v>
      </c>
      <c r="D3475" s="4" t="str">
        <f>"余洁璇"</f>
        <v>余洁璇</v>
      </c>
      <c r="E3475" s="4" t="str">
        <f t="shared" si="135"/>
        <v>女</v>
      </c>
    </row>
    <row r="3476" spans="1:5" ht="30" customHeight="1">
      <c r="A3476" s="4">
        <v>3474</v>
      </c>
      <c r="B3476" s="4" t="str">
        <f>"39712022060414170588952"</f>
        <v>39712022060414170588952</v>
      </c>
      <c r="C3476" s="4" t="s">
        <v>28</v>
      </c>
      <c r="D3476" s="4" t="str">
        <f>"盘腾斌"</f>
        <v>盘腾斌</v>
      </c>
      <c r="E3476" s="4" t="str">
        <f>"男"</f>
        <v>男</v>
      </c>
    </row>
    <row r="3477" spans="1:5" ht="30" customHeight="1">
      <c r="A3477" s="4">
        <v>3475</v>
      </c>
      <c r="B3477" s="4" t="str">
        <f>"39712022060414271888961"</f>
        <v>39712022060414271888961</v>
      </c>
      <c r="C3477" s="4" t="s">
        <v>28</v>
      </c>
      <c r="D3477" s="4" t="str">
        <f>"何梦娇"</f>
        <v>何梦娇</v>
      </c>
      <c r="E3477" s="4" t="str">
        <f aca="true" t="shared" si="136" ref="E3477:E3491">"女"</f>
        <v>女</v>
      </c>
    </row>
    <row r="3478" spans="1:5" ht="30" customHeight="1">
      <c r="A3478" s="4">
        <v>3476</v>
      </c>
      <c r="B3478" s="4" t="str">
        <f>"39712022060414344788971"</f>
        <v>39712022060414344788971</v>
      </c>
      <c r="C3478" s="4" t="s">
        <v>28</v>
      </c>
      <c r="D3478" s="4" t="str">
        <f>"黄丽萍"</f>
        <v>黄丽萍</v>
      </c>
      <c r="E3478" s="4" t="str">
        <f t="shared" si="136"/>
        <v>女</v>
      </c>
    </row>
    <row r="3479" spans="1:5" ht="30" customHeight="1">
      <c r="A3479" s="4">
        <v>3477</v>
      </c>
      <c r="B3479" s="4" t="str">
        <f>"39712022060414425388980"</f>
        <v>39712022060414425388980</v>
      </c>
      <c r="C3479" s="4" t="s">
        <v>28</v>
      </c>
      <c r="D3479" s="4" t="str">
        <f>"林丽明"</f>
        <v>林丽明</v>
      </c>
      <c r="E3479" s="4" t="str">
        <f t="shared" si="136"/>
        <v>女</v>
      </c>
    </row>
    <row r="3480" spans="1:5" ht="30" customHeight="1">
      <c r="A3480" s="4">
        <v>3478</v>
      </c>
      <c r="B3480" s="4" t="str">
        <f>"39712022060414433988981"</f>
        <v>39712022060414433988981</v>
      </c>
      <c r="C3480" s="4" t="s">
        <v>28</v>
      </c>
      <c r="D3480" s="4" t="str">
        <f>"韩丛竹"</f>
        <v>韩丛竹</v>
      </c>
      <c r="E3480" s="4" t="str">
        <f t="shared" si="136"/>
        <v>女</v>
      </c>
    </row>
    <row r="3481" spans="1:5" ht="30" customHeight="1">
      <c r="A3481" s="4">
        <v>3479</v>
      </c>
      <c r="B3481" s="4" t="str">
        <f>"39712022060415431389037"</f>
        <v>39712022060415431389037</v>
      </c>
      <c r="C3481" s="4" t="s">
        <v>28</v>
      </c>
      <c r="D3481" s="4" t="str">
        <f>"蔡海丁"</f>
        <v>蔡海丁</v>
      </c>
      <c r="E3481" s="4" t="str">
        <f t="shared" si="136"/>
        <v>女</v>
      </c>
    </row>
    <row r="3482" spans="1:5" ht="30" customHeight="1">
      <c r="A3482" s="4">
        <v>3480</v>
      </c>
      <c r="B3482" s="4" t="str">
        <f>"39712022060415535389047"</f>
        <v>39712022060415535389047</v>
      </c>
      <c r="C3482" s="4" t="s">
        <v>28</v>
      </c>
      <c r="D3482" s="4" t="str">
        <f>"陈燕雨"</f>
        <v>陈燕雨</v>
      </c>
      <c r="E3482" s="4" t="str">
        <f t="shared" si="136"/>
        <v>女</v>
      </c>
    </row>
    <row r="3483" spans="1:5" ht="30" customHeight="1">
      <c r="A3483" s="4">
        <v>3481</v>
      </c>
      <c r="B3483" s="4" t="str">
        <f>"39712022060417235889151"</f>
        <v>39712022060417235889151</v>
      </c>
      <c r="C3483" s="4" t="s">
        <v>28</v>
      </c>
      <c r="D3483" s="4" t="str">
        <f>"吴丽娜"</f>
        <v>吴丽娜</v>
      </c>
      <c r="E3483" s="4" t="str">
        <f t="shared" si="136"/>
        <v>女</v>
      </c>
    </row>
    <row r="3484" spans="1:5" ht="30" customHeight="1">
      <c r="A3484" s="4">
        <v>3482</v>
      </c>
      <c r="B3484" s="4" t="str">
        <f>"39712022060417383689164"</f>
        <v>39712022060417383689164</v>
      </c>
      <c r="C3484" s="4" t="s">
        <v>28</v>
      </c>
      <c r="D3484" s="4" t="str">
        <f>"羊晶鑫"</f>
        <v>羊晶鑫</v>
      </c>
      <c r="E3484" s="4" t="str">
        <f t="shared" si="136"/>
        <v>女</v>
      </c>
    </row>
    <row r="3485" spans="1:5" ht="30" customHeight="1">
      <c r="A3485" s="4">
        <v>3483</v>
      </c>
      <c r="B3485" s="4" t="str">
        <f>"39712022060417505389178"</f>
        <v>39712022060417505389178</v>
      </c>
      <c r="C3485" s="4" t="s">
        <v>28</v>
      </c>
      <c r="D3485" s="4" t="str">
        <f>"陈有娓"</f>
        <v>陈有娓</v>
      </c>
      <c r="E3485" s="4" t="str">
        <f t="shared" si="136"/>
        <v>女</v>
      </c>
    </row>
    <row r="3486" spans="1:5" ht="30" customHeight="1">
      <c r="A3486" s="4">
        <v>3484</v>
      </c>
      <c r="B3486" s="4" t="str">
        <f>"39712022060418042689186"</f>
        <v>39712022060418042689186</v>
      </c>
      <c r="C3486" s="4" t="s">
        <v>28</v>
      </c>
      <c r="D3486" s="4" t="str">
        <f>"陈桂芬"</f>
        <v>陈桂芬</v>
      </c>
      <c r="E3486" s="4" t="str">
        <f t="shared" si="136"/>
        <v>女</v>
      </c>
    </row>
    <row r="3487" spans="1:5" ht="30" customHeight="1">
      <c r="A3487" s="4">
        <v>3485</v>
      </c>
      <c r="B3487" s="4" t="str">
        <f>"39712022060418080989194"</f>
        <v>39712022060418080989194</v>
      </c>
      <c r="C3487" s="4" t="s">
        <v>28</v>
      </c>
      <c r="D3487" s="4" t="str">
        <f>"刘秀萍"</f>
        <v>刘秀萍</v>
      </c>
      <c r="E3487" s="4" t="str">
        <f t="shared" si="136"/>
        <v>女</v>
      </c>
    </row>
    <row r="3488" spans="1:5" ht="30" customHeight="1">
      <c r="A3488" s="4">
        <v>3486</v>
      </c>
      <c r="B3488" s="4" t="str">
        <f>"39712022060418131489198"</f>
        <v>39712022060418131489198</v>
      </c>
      <c r="C3488" s="4" t="s">
        <v>28</v>
      </c>
      <c r="D3488" s="4" t="str">
        <f>"莫玉敏"</f>
        <v>莫玉敏</v>
      </c>
      <c r="E3488" s="4" t="str">
        <f t="shared" si="136"/>
        <v>女</v>
      </c>
    </row>
    <row r="3489" spans="1:5" ht="30" customHeight="1">
      <c r="A3489" s="4">
        <v>3487</v>
      </c>
      <c r="B3489" s="4" t="str">
        <f>"39712022060418241389207"</f>
        <v>39712022060418241389207</v>
      </c>
      <c r="C3489" s="4" t="s">
        <v>28</v>
      </c>
      <c r="D3489" s="4" t="str">
        <f>"陈盛兰"</f>
        <v>陈盛兰</v>
      </c>
      <c r="E3489" s="4" t="str">
        <f t="shared" si="136"/>
        <v>女</v>
      </c>
    </row>
    <row r="3490" spans="1:5" ht="30" customHeight="1">
      <c r="A3490" s="4">
        <v>3488</v>
      </c>
      <c r="B3490" s="4" t="str">
        <f>"39712022060418320989214"</f>
        <v>39712022060418320989214</v>
      </c>
      <c r="C3490" s="4" t="s">
        <v>28</v>
      </c>
      <c r="D3490" s="4" t="str">
        <f>"罗慧芳"</f>
        <v>罗慧芳</v>
      </c>
      <c r="E3490" s="4" t="str">
        <f t="shared" si="136"/>
        <v>女</v>
      </c>
    </row>
    <row r="3491" spans="1:5" ht="30" customHeight="1">
      <c r="A3491" s="4">
        <v>3489</v>
      </c>
      <c r="B3491" s="4" t="str">
        <f>"39712022060418432089223"</f>
        <v>39712022060418432089223</v>
      </c>
      <c r="C3491" s="4" t="s">
        <v>28</v>
      </c>
      <c r="D3491" s="4" t="str">
        <f>"林桂梅"</f>
        <v>林桂梅</v>
      </c>
      <c r="E3491" s="4" t="str">
        <f t="shared" si="136"/>
        <v>女</v>
      </c>
    </row>
    <row r="3492" spans="1:5" ht="30" customHeight="1">
      <c r="A3492" s="4">
        <v>3490</v>
      </c>
      <c r="B3492" s="4" t="str">
        <f>"39712022060419103689251"</f>
        <v>39712022060419103689251</v>
      </c>
      <c r="C3492" s="4" t="s">
        <v>28</v>
      </c>
      <c r="D3492" s="4" t="str">
        <f>"符祥策"</f>
        <v>符祥策</v>
      </c>
      <c r="E3492" s="4" t="str">
        <f>"男"</f>
        <v>男</v>
      </c>
    </row>
    <row r="3493" spans="1:5" ht="30" customHeight="1">
      <c r="A3493" s="4">
        <v>3491</v>
      </c>
      <c r="B3493" s="4" t="str">
        <f>"39712022060419135189256"</f>
        <v>39712022060419135189256</v>
      </c>
      <c r="C3493" s="4" t="s">
        <v>28</v>
      </c>
      <c r="D3493" s="4" t="str">
        <f>"符瑞影"</f>
        <v>符瑞影</v>
      </c>
      <c r="E3493" s="4" t="str">
        <f aca="true" t="shared" si="137" ref="E3493:E3545">"女"</f>
        <v>女</v>
      </c>
    </row>
    <row r="3494" spans="1:5" ht="30" customHeight="1">
      <c r="A3494" s="4">
        <v>3492</v>
      </c>
      <c r="B3494" s="4" t="str">
        <f>"39712022060419284989270"</f>
        <v>39712022060419284989270</v>
      </c>
      <c r="C3494" s="4" t="s">
        <v>28</v>
      </c>
      <c r="D3494" s="4" t="str">
        <f>"王子宜"</f>
        <v>王子宜</v>
      </c>
      <c r="E3494" s="4" t="str">
        <f t="shared" si="137"/>
        <v>女</v>
      </c>
    </row>
    <row r="3495" spans="1:5" ht="30" customHeight="1">
      <c r="A3495" s="4">
        <v>3493</v>
      </c>
      <c r="B3495" s="4" t="str">
        <f>"39712022060419394889279"</f>
        <v>39712022060419394889279</v>
      </c>
      <c r="C3495" s="4" t="s">
        <v>28</v>
      </c>
      <c r="D3495" s="4" t="str">
        <f>"林燕红"</f>
        <v>林燕红</v>
      </c>
      <c r="E3495" s="4" t="str">
        <f t="shared" si="137"/>
        <v>女</v>
      </c>
    </row>
    <row r="3496" spans="1:5" ht="30" customHeight="1">
      <c r="A3496" s="4">
        <v>3494</v>
      </c>
      <c r="B3496" s="4" t="str">
        <f>"39712022060419445389282"</f>
        <v>39712022060419445389282</v>
      </c>
      <c r="C3496" s="4" t="s">
        <v>28</v>
      </c>
      <c r="D3496" s="4" t="str">
        <f>"肖转南"</f>
        <v>肖转南</v>
      </c>
      <c r="E3496" s="4" t="str">
        <f t="shared" si="137"/>
        <v>女</v>
      </c>
    </row>
    <row r="3497" spans="1:5" ht="30" customHeight="1">
      <c r="A3497" s="4">
        <v>3495</v>
      </c>
      <c r="B3497" s="4" t="str">
        <f>"39712022060419580189294"</f>
        <v>39712022060419580189294</v>
      </c>
      <c r="C3497" s="4" t="s">
        <v>28</v>
      </c>
      <c r="D3497" s="4" t="str">
        <f>"周暖暖"</f>
        <v>周暖暖</v>
      </c>
      <c r="E3497" s="4" t="str">
        <f t="shared" si="137"/>
        <v>女</v>
      </c>
    </row>
    <row r="3498" spans="1:5" ht="30" customHeight="1">
      <c r="A3498" s="4">
        <v>3496</v>
      </c>
      <c r="B3498" s="4" t="str">
        <f>"39712022060419581089295"</f>
        <v>39712022060419581089295</v>
      </c>
      <c r="C3498" s="4" t="s">
        <v>28</v>
      </c>
      <c r="D3498" s="4" t="str">
        <f>"李德萍"</f>
        <v>李德萍</v>
      </c>
      <c r="E3498" s="4" t="str">
        <f t="shared" si="137"/>
        <v>女</v>
      </c>
    </row>
    <row r="3499" spans="1:5" ht="30" customHeight="1">
      <c r="A3499" s="4">
        <v>3497</v>
      </c>
      <c r="B3499" s="4" t="str">
        <f>"39712022060420013889297"</f>
        <v>39712022060420013889297</v>
      </c>
      <c r="C3499" s="4" t="s">
        <v>28</v>
      </c>
      <c r="D3499" s="4" t="str">
        <f>"周欣瑜"</f>
        <v>周欣瑜</v>
      </c>
      <c r="E3499" s="4" t="str">
        <f t="shared" si="137"/>
        <v>女</v>
      </c>
    </row>
    <row r="3500" spans="1:5" ht="30" customHeight="1">
      <c r="A3500" s="4">
        <v>3498</v>
      </c>
      <c r="B3500" s="4" t="str">
        <f>"39712022060420113189309"</f>
        <v>39712022060420113189309</v>
      </c>
      <c r="C3500" s="4" t="s">
        <v>28</v>
      </c>
      <c r="D3500" s="4" t="str">
        <f>"冯芷菁"</f>
        <v>冯芷菁</v>
      </c>
      <c r="E3500" s="4" t="str">
        <f t="shared" si="137"/>
        <v>女</v>
      </c>
    </row>
    <row r="3501" spans="1:5" ht="30" customHeight="1">
      <c r="A3501" s="4">
        <v>3499</v>
      </c>
      <c r="B3501" s="4" t="str">
        <f>"39712022060420183389316"</f>
        <v>39712022060420183389316</v>
      </c>
      <c r="C3501" s="4" t="s">
        <v>28</v>
      </c>
      <c r="D3501" s="4" t="str">
        <f>"陈春"</f>
        <v>陈春</v>
      </c>
      <c r="E3501" s="4" t="str">
        <f t="shared" si="137"/>
        <v>女</v>
      </c>
    </row>
    <row r="3502" spans="1:5" ht="30" customHeight="1">
      <c r="A3502" s="4">
        <v>3500</v>
      </c>
      <c r="B3502" s="4" t="str">
        <f>"39712022060420324489329"</f>
        <v>39712022060420324489329</v>
      </c>
      <c r="C3502" s="4" t="s">
        <v>28</v>
      </c>
      <c r="D3502" s="4" t="str">
        <f>"冯向文"</f>
        <v>冯向文</v>
      </c>
      <c r="E3502" s="4" t="str">
        <f t="shared" si="137"/>
        <v>女</v>
      </c>
    </row>
    <row r="3503" spans="1:5" ht="30" customHeight="1">
      <c r="A3503" s="4">
        <v>3501</v>
      </c>
      <c r="B3503" s="4" t="str">
        <f>"39712022060420473089344"</f>
        <v>39712022060420473089344</v>
      </c>
      <c r="C3503" s="4" t="s">
        <v>28</v>
      </c>
      <c r="D3503" s="4" t="str">
        <f>"林慧芳"</f>
        <v>林慧芳</v>
      </c>
      <c r="E3503" s="4" t="str">
        <f t="shared" si="137"/>
        <v>女</v>
      </c>
    </row>
    <row r="3504" spans="1:5" ht="30" customHeight="1">
      <c r="A3504" s="4">
        <v>3502</v>
      </c>
      <c r="B3504" s="4" t="str">
        <f>"39712022060421085189370"</f>
        <v>39712022060421085189370</v>
      </c>
      <c r="C3504" s="4" t="s">
        <v>28</v>
      </c>
      <c r="D3504" s="4" t="str">
        <f>"王欣欣"</f>
        <v>王欣欣</v>
      </c>
      <c r="E3504" s="4" t="str">
        <f t="shared" si="137"/>
        <v>女</v>
      </c>
    </row>
    <row r="3505" spans="1:5" ht="30" customHeight="1">
      <c r="A3505" s="4">
        <v>3503</v>
      </c>
      <c r="B3505" s="4" t="str">
        <f>"39712022060421270989391"</f>
        <v>39712022060421270989391</v>
      </c>
      <c r="C3505" s="4" t="s">
        <v>28</v>
      </c>
      <c r="D3505" s="4" t="str">
        <f>"邱丽"</f>
        <v>邱丽</v>
      </c>
      <c r="E3505" s="4" t="str">
        <f t="shared" si="137"/>
        <v>女</v>
      </c>
    </row>
    <row r="3506" spans="1:5" ht="30" customHeight="1">
      <c r="A3506" s="4">
        <v>3504</v>
      </c>
      <c r="B3506" s="4" t="str">
        <f>"39712022060421271789393"</f>
        <v>39712022060421271789393</v>
      </c>
      <c r="C3506" s="4" t="s">
        <v>28</v>
      </c>
      <c r="D3506" s="4" t="str">
        <f>"黄善善"</f>
        <v>黄善善</v>
      </c>
      <c r="E3506" s="4" t="str">
        <f t="shared" si="137"/>
        <v>女</v>
      </c>
    </row>
    <row r="3507" spans="1:5" ht="30" customHeight="1">
      <c r="A3507" s="4">
        <v>3505</v>
      </c>
      <c r="B3507" s="4" t="str">
        <f>"39712022060421402289405"</f>
        <v>39712022060421402289405</v>
      </c>
      <c r="C3507" s="4" t="s">
        <v>28</v>
      </c>
      <c r="D3507" s="4" t="str">
        <f>"吴一妮"</f>
        <v>吴一妮</v>
      </c>
      <c r="E3507" s="4" t="str">
        <f t="shared" si="137"/>
        <v>女</v>
      </c>
    </row>
    <row r="3508" spans="1:5" ht="30" customHeight="1">
      <c r="A3508" s="4">
        <v>3506</v>
      </c>
      <c r="B3508" s="4" t="str">
        <f>"39712022060421505089416"</f>
        <v>39712022060421505089416</v>
      </c>
      <c r="C3508" s="4" t="s">
        <v>28</v>
      </c>
      <c r="D3508" s="4" t="str">
        <f>"陈晓瑶"</f>
        <v>陈晓瑶</v>
      </c>
      <c r="E3508" s="4" t="str">
        <f t="shared" si="137"/>
        <v>女</v>
      </c>
    </row>
    <row r="3509" spans="1:5" ht="30" customHeight="1">
      <c r="A3509" s="4">
        <v>3507</v>
      </c>
      <c r="B3509" s="4" t="str">
        <f>"39712022060421524189417"</f>
        <v>39712022060421524189417</v>
      </c>
      <c r="C3509" s="4" t="s">
        <v>28</v>
      </c>
      <c r="D3509" s="4" t="str">
        <f>"吴育玲"</f>
        <v>吴育玲</v>
      </c>
      <c r="E3509" s="4" t="str">
        <f t="shared" si="137"/>
        <v>女</v>
      </c>
    </row>
    <row r="3510" spans="1:5" ht="30" customHeight="1">
      <c r="A3510" s="4">
        <v>3508</v>
      </c>
      <c r="B3510" s="4" t="str">
        <f>"39712022060422090489432"</f>
        <v>39712022060422090489432</v>
      </c>
      <c r="C3510" s="4" t="s">
        <v>28</v>
      </c>
      <c r="D3510" s="4" t="str">
        <f>"洪秀婷"</f>
        <v>洪秀婷</v>
      </c>
      <c r="E3510" s="4" t="str">
        <f t="shared" si="137"/>
        <v>女</v>
      </c>
    </row>
    <row r="3511" spans="1:5" ht="30" customHeight="1">
      <c r="A3511" s="4">
        <v>3509</v>
      </c>
      <c r="B3511" s="4" t="str">
        <f>"39712022060422122089434"</f>
        <v>39712022060422122089434</v>
      </c>
      <c r="C3511" s="4" t="s">
        <v>28</v>
      </c>
      <c r="D3511" s="4" t="str">
        <f>"黄少云"</f>
        <v>黄少云</v>
      </c>
      <c r="E3511" s="4" t="str">
        <f t="shared" si="137"/>
        <v>女</v>
      </c>
    </row>
    <row r="3512" spans="1:5" ht="30" customHeight="1">
      <c r="A3512" s="4">
        <v>3510</v>
      </c>
      <c r="B3512" s="4" t="str">
        <f>"39712022060422132289435"</f>
        <v>39712022060422132289435</v>
      </c>
      <c r="C3512" s="4" t="s">
        <v>28</v>
      </c>
      <c r="D3512" s="4" t="str">
        <f>"邢欣"</f>
        <v>邢欣</v>
      </c>
      <c r="E3512" s="4" t="str">
        <f t="shared" si="137"/>
        <v>女</v>
      </c>
    </row>
    <row r="3513" spans="1:5" ht="30" customHeight="1">
      <c r="A3513" s="4">
        <v>3511</v>
      </c>
      <c r="B3513" s="4" t="str">
        <f>"39712022060422164489441"</f>
        <v>39712022060422164489441</v>
      </c>
      <c r="C3513" s="4" t="s">
        <v>28</v>
      </c>
      <c r="D3513" s="4" t="str">
        <f>"吴巧"</f>
        <v>吴巧</v>
      </c>
      <c r="E3513" s="4" t="str">
        <f t="shared" si="137"/>
        <v>女</v>
      </c>
    </row>
    <row r="3514" spans="1:5" ht="30" customHeight="1">
      <c r="A3514" s="4">
        <v>3512</v>
      </c>
      <c r="B3514" s="4" t="str">
        <f>"39712022060422203089447"</f>
        <v>39712022060422203089447</v>
      </c>
      <c r="C3514" s="4" t="s">
        <v>28</v>
      </c>
      <c r="D3514" s="4" t="str">
        <f>"陈恋群"</f>
        <v>陈恋群</v>
      </c>
      <c r="E3514" s="4" t="str">
        <f t="shared" si="137"/>
        <v>女</v>
      </c>
    </row>
    <row r="3515" spans="1:5" ht="30" customHeight="1">
      <c r="A3515" s="4">
        <v>3513</v>
      </c>
      <c r="B3515" s="4" t="str">
        <f>"39712022060422234889453"</f>
        <v>39712022060422234889453</v>
      </c>
      <c r="C3515" s="4" t="s">
        <v>28</v>
      </c>
      <c r="D3515" s="4" t="str">
        <f>"张露瑜"</f>
        <v>张露瑜</v>
      </c>
      <c r="E3515" s="4" t="str">
        <f t="shared" si="137"/>
        <v>女</v>
      </c>
    </row>
    <row r="3516" spans="1:5" ht="30" customHeight="1">
      <c r="A3516" s="4">
        <v>3514</v>
      </c>
      <c r="B3516" s="4" t="str">
        <f>"39712022060422384889468"</f>
        <v>39712022060422384889468</v>
      </c>
      <c r="C3516" s="4" t="s">
        <v>28</v>
      </c>
      <c r="D3516" s="4" t="str">
        <f>"冯春秋"</f>
        <v>冯春秋</v>
      </c>
      <c r="E3516" s="4" t="str">
        <f t="shared" si="137"/>
        <v>女</v>
      </c>
    </row>
    <row r="3517" spans="1:5" ht="30" customHeight="1">
      <c r="A3517" s="4">
        <v>3515</v>
      </c>
      <c r="B3517" s="4" t="str">
        <f>"39712022060422410489471"</f>
        <v>39712022060422410489471</v>
      </c>
      <c r="C3517" s="4" t="s">
        <v>28</v>
      </c>
      <c r="D3517" s="4" t="str">
        <f>"赵坤相"</f>
        <v>赵坤相</v>
      </c>
      <c r="E3517" s="4" t="str">
        <f t="shared" si="137"/>
        <v>女</v>
      </c>
    </row>
    <row r="3518" spans="1:5" ht="30" customHeight="1">
      <c r="A3518" s="4">
        <v>3516</v>
      </c>
      <c r="B3518" s="4" t="str">
        <f>"39712022060422460089475"</f>
        <v>39712022060422460089475</v>
      </c>
      <c r="C3518" s="4" t="s">
        <v>28</v>
      </c>
      <c r="D3518" s="4" t="str">
        <f>"兰田靖"</f>
        <v>兰田靖</v>
      </c>
      <c r="E3518" s="4" t="str">
        <f t="shared" si="137"/>
        <v>女</v>
      </c>
    </row>
    <row r="3519" spans="1:5" ht="30" customHeight="1">
      <c r="A3519" s="4">
        <v>3517</v>
      </c>
      <c r="B3519" s="4" t="str">
        <f>"39712022060422470589477"</f>
        <v>39712022060422470589477</v>
      </c>
      <c r="C3519" s="4" t="s">
        <v>28</v>
      </c>
      <c r="D3519" s="4" t="str">
        <f>"王仙赐"</f>
        <v>王仙赐</v>
      </c>
      <c r="E3519" s="4" t="str">
        <f t="shared" si="137"/>
        <v>女</v>
      </c>
    </row>
    <row r="3520" spans="1:5" ht="30" customHeight="1">
      <c r="A3520" s="4">
        <v>3518</v>
      </c>
      <c r="B3520" s="4" t="str">
        <f>"39712022060422472189478"</f>
        <v>39712022060422472189478</v>
      </c>
      <c r="C3520" s="4" t="s">
        <v>28</v>
      </c>
      <c r="D3520" s="4" t="str">
        <f>"倪协燕"</f>
        <v>倪协燕</v>
      </c>
      <c r="E3520" s="4" t="str">
        <f t="shared" si="137"/>
        <v>女</v>
      </c>
    </row>
    <row r="3521" spans="1:5" ht="30" customHeight="1">
      <c r="A3521" s="4">
        <v>3519</v>
      </c>
      <c r="B3521" s="4" t="str">
        <f>"39712022060423071389499"</f>
        <v>39712022060423071389499</v>
      </c>
      <c r="C3521" s="4" t="s">
        <v>28</v>
      </c>
      <c r="D3521" s="4" t="str">
        <f>"符庆亮"</f>
        <v>符庆亮</v>
      </c>
      <c r="E3521" s="4" t="str">
        <f t="shared" si="137"/>
        <v>女</v>
      </c>
    </row>
    <row r="3522" spans="1:5" ht="30" customHeight="1">
      <c r="A3522" s="4">
        <v>3520</v>
      </c>
      <c r="B3522" s="4" t="str">
        <f>"39712022060423231689519"</f>
        <v>39712022060423231689519</v>
      </c>
      <c r="C3522" s="4" t="s">
        <v>28</v>
      </c>
      <c r="D3522" s="4" t="str">
        <f>"陈莹莹"</f>
        <v>陈莹莹</v>
      </c>
      <c r="E3522" s="4" t="str">
        <f t="shared" si="137"/>
        <v>女</v>
      </c>
    </row>
    <row r="3523" spans="1:5" ht="30" customHeight="1">
      <c r="A3523" s="4">
        <v>3521</v>
      </c>
      <c r="B3523" s="4" t="str">
        <f>"39712022060423291589525"</f>
        <v>39712022060423291589525</v>
      </c>
      <c r="C3523" s="4" t="s">
        <v>28</v>
      </c>
      <c r="D3523" s="4" t="str">
        <f>"林翘君"</f>
        <v>林翘君</v>
      </c>
      <c r="E3523" s="4" t="str">
        <f t="shared" si="137"/>
        <v>女</v>
      </c>
    </row>
    <row r="3524" spans="1:5" ht="30" customHeight="1">
      <c r="A3524" s="4">
        <v>3522</v>
      </c>
      <c r="B3524" s="4" t="str">
        <f>"39712022060423451589537"</f>
        <v>39712022060423451589537</v>
      </c>
      <c r="C3524" s="4" t="s">
        <v>28</v>
      </c>
      <c r="D3524" s="4" t="str">
        <f>"梁丽丽"</f>
        <v>梁丽丽</v>
      </c>
      <c r="E3524" s="4" t="str">
        <f t="shared" si="137"/>
        <v>女</v>
      </c>
    </row>
    <row r="3525" spans="1:5" ht="30" customHeight="1">
      <c r="A3525" s="4">
        <v>3523</v>
      </c>
      <c r="B3525" s="4" t="str">
        <f>"39712022060423571089545"</f>
        <v>39712022060423571089545</v>
      </c>
      <c r="C3525" s="4" t="s">
        <v>28</v>
      </c>
      <c r="D3525" s="4" t="str">
        <f>"许婷玉"</f>
        <v>许婷玉</v>
      </c>
      <c r="E3525" s="4" t="str">
        <f t="shared" si="137"/>
        <v>女</v>
      </c>
    </row>
    <row r="3526" spans="1:5" ht="30" customHeight="1">
      <c r="A3526" s="4">
        <v>3524</v>
      </c>
      <c r="B3526" s="4" t="str">
        <f>"39712022060500161289559"</f>
        <v>39712022060500161289559</v>
      </c>
      <c r="C3526" s="4" t="s">
        <v>28</v>
      </c>
      <c r="D3526" s="4" t="str">
        <f>"梁珊萍"</f>
        <v>梁珊萍</v>
      </c>
      <c r="E3526" s="4" t="str">
        <f t="shared" si="137"/>
        <v>女</v>
      </c>
    </row>
    <row r="3527" spans="1:5" ht="30" customHeight="1">
      <c r="A3527" s="4">
        <v>3525</v>
      </c>
      <c r="B3527" s="4" t="str">
        <f>"39712022060500225189564"</f>
        <v>39712022060500225189564</v>
      </c>
      <c r="C3527" s="4" t="s">
        <v>28</v>
      </c>
      <c r="D3527" s="4" t="str">
        <f>"郑淑萍"</f>
        <v>郑淑萍</v>
      </c>
      <c r="E3527" s="4" t="str">
        <f t="shared" si="137"/>
        <v>女</v>
      </c>
    </row>
    <row r="3528" spans="1:5" ht="30" customHeight="1">
      <c r="A3528" s="4">
        <v>3526</v>
      </c>
      <c r="B3528" s="4" t="str">
        <f>"39712022060501032689572"</f>
        <v>39712022060501032689572</v>
      </c>
      <c r="C3528" s="4" t="s">
        <v>28</v>
      </c>
      <c r="D3528" s="4" t="str">
        <f>"符蕊"</f>
        <v>符蕊</v>
      </c>
      <c r="E3528" s="4" t="str">
        <f t="shared" si="137"/>
        <v>女</v>
      </c>
    </row>
    <row r="3529" spans="1:5" ht="30" customHeight="1">
      <c r="A3529" s="4">
        <v>3527</v>
      </c>
      <c r="B3529" s="4" t="str">
        <f>"39712022060507364689581"</f>
        <v>39712022060507364689581</v>
      </c>
      <c r="C3529" s="4" t="s">
        <v>28</v>
      </c>
      <c r="D3529" s="4" t="str">
        <f>"沈俊宏"</f>
        <v>沈俊宏</v>
      </c>
      <c r="E3529" s="4" t="str">
        <f t="shared" si="137"/>
        <v>女</v>
      </c>
    </row>
    <row r="3530" spans="1:5" ht="30" customHeight="1">
      <c r="A3530" s="4">
        <v>3528</v>
      </c>
      <c r="B3530" s="4" t="str">
        <f>"39712022060509211989655"</f>
        <v>39712022060509211989655</v>
      </c>
      <c r="C3530" s="4" t="s">
        <v>28</v>
      </c>
      <c r="D3530" s="4" t="str">
        <f>"周春瑜"</f>
        <v>周春瑜</v>
      </c>
      <c r="E3530" s="4" t="str">
        <f t="shared" si="137"/>
        <v>女</v>
      </c>
    </row>
    <row r="3531" spans="1:5" ht="30" customHeight="1">
      <c r="A3531" s="4">
        <v>3529</v>
      </c>
      <c r="B3531" s="4" t="str">
        <f>"39712022060509590689721"</f>
        <v>39712022060509590689721</v>
      </c>
      <c r="C3531" s="4" t="s">
        <v>28</v>
      </c>
      <c r="D3531" s="4" t="str">
        <f>"陈芳梅"</f>
        <v>陈芳梅</v>
      </c>
      <c r="E3531" s="4" t="str">
        <f t="shared" si="137"/>
        <v>女</v>
      </c>
    </row>
    <row r="3532" spans="1:5" ht="30" customHeight="1">
      <c r="A3532" s="4">
        <v>3530</v>
      </c>
      <c r="B3532" s="4" t="str">
        <f>"39712022060510080589734"</f>
        <v>39712022060510080589734</v>
      </c>
      <c r="C3532" s="4" t="s">
        <v>28</v>
      </c>
      <c r="D3532" s="4" t="str">
        <f>"孙瑛林"</f>
        <v>孙瑛林</v>
      </c>
      <c r="E3532" s="4" t="str">
        <f t="shared" si="137"/>
        <v>女</v>
      </c>
    </row>
    <row r="3533" spans="1:5" ht="30" customHeight="1">
      <c r="A3533" s="4">
        <v>3531</v>
      </c>
      <c r="B3533" s="4" t="str">
        <f>"39712022060510205889767"</f>
        <v>39712022060510205889767</v>
      </c>
      <c r="C3533" s="4" t="s">
        <v>28</v>
      </c>
      <c r="D3533" s="4" t="str">
        <f>"王慧"</f>
        <v>王慧</v>
      </c>
      <c r="E3533" s="4" t="str">
        <f t="shared" si="137"/>
        <v>女</v>
      </c>
    </row>
    <row r="3534" spans="1:5" ht="30" customHeight="1">
      <c r="A3534" s="4">
        <v>3532</v>
      </c>
      <c r="B3534" s="4" t="str">
        <f>"39712022060510352789794"</f>
        <v>39712022060510352789794</v>
      </c>
      <c r="C3534" s="4" t="s">
        <v>28</v>
      </c>
      <c r="D3534" s="4" t="str">
        <f>"吴泳丽"</f>
        <v>吴泳丽</v>
      </c>
      <c r="E3534" s="4" t="str">
        <f t="shared" si="137"/>
        <v>女</v>
      </c>
    </row>
    <row r="3535" spans="1:5" ht="30" customHeight="1">
      <c r="A3535" s="4">
        <v>3533</v>
      </c>
      <c r="B3535" s="4" t="str">
        <f>"39712022060510483289819"</f>
        <v>39712022060510483289819</v>
      </c>
      <c r="C3535" s="4" t="s">
        <v>28</v>
      </c>
      <c r="D3535" s="4" t="str">
        <f>"佟海琪"</f>
        <v>佟海琪</v>
      </c>
      <c r="E3535" s="4" t="str">
        <f t="shared" si="137"/>
        <v>女</v>
      </c>
    </row>
    <row r="3536" spans="1:5" ht="30" customHeight="1">
      <c r="A3536" s="4">
        <v>3534</v>
      </c>
      <c r="B3536" s="4" t="str">
        <f>"39712022060510552989832"</f>
        <v>39712022060510552989832</v>
      </c>
      <c r="C3536" s="4" t="s">
        <v>28</v>
      </c>
      <c r="D3536" s="4" t="str">
        <f>"郑忠艳"</f>
        <v>郑忠艳</v>
      </c>
      <c r="E3536" s="4" t="str">
        <f t="shared" si="137"/>
        <v>女</v>
      </c>
    </row>
    <row r="3537" spans="1:5" ht="30" customHeight="1">
      <c r="A3537" s="4">
        <v>3535</v>
      </c>
      <c r="B3537" s="4" t="str">
        <f>"39712022060511274789888"</f>
        <v>39712022060511274789888</v>
      </c>
      <c r="C3537" s="4" t="s">
        <v>28</v>
      </c>
      <c r="D3537" s="4" t="str">
        <f>"张露"</f>
        <v>张露</v>
      </c>
      <c r="E3537" s="4" t="str">
        <f t="shared" si="137"/>
        <v>女</v>
      </c>
    </row>
    <row r="3538" spans="1:5" ht="30" customHeight="1">
      <c r="A3538" s="4">
        <v>3536</v>
      </c>
      <c r="B3538" s="4" t="str">
        <f>"39712022060511311489894"</f>
        <v>39712022060511311489894</v>
      </c>
      <c r="C3538" s="4" t="s">
        <v>28</v>
      </c>
      <c r="D3538" s="4" t="str">
        <f>"任碧琴"</f>
        <v>任碧琴</v>
      </c>
      <c r="E3538" s="4" t="str">
        <f t="shared" si="137"/>
        <v>女</v>
      </c>
    </row>
    <row r="3539" spans="1:5" ht="30" customHeight="1">
      <c r="A3539" s="4">
        <v>3537</v>
      </c>
      <c r="B3539" s="4" t="str">
        <f>"39712022060511321989897"</f>
        <v>39712022060511321989897</v>
      </c>
      <c r="C3539" s="4" t="s">
        <v>28</v>
      </c>
      <c r="D3539" s="4" t="str">
        <f>"王晶"</f>
        <v>王晶</v>
      </c>
      <c r="E3539" s="4" t="str">
        <f t="shared" si="137"/>
        <v>女</v>
      </c>
    </row>
    <row r="3540" spans="1:5" ht="30" customHeight="1">
      <c r="A3540" s="4">
        <v>3538</v>
      </c>
      <c r="B3540" s="4" t="str">
        <f>"39712022060511390989908"</f>
        <v>39712022060511390989908</v>
      </c>
      <c r="C3540" s="4" t="s">
        <v>28</v>
      </c>
      <c r="D3540" s="4" t="str">
        <f>"王思涵"</f>
        <v>王思涵</v>
      </c>
      <c r="E3540" s="4" t="str">
        <f t="shared" si="137"/>
        <v>女</v>
      </c>
    </row>
    <row r="3541" spans="1:5" ht="30" customHeight="1">
      <c r="A3541" s="4">
        <v>3539</v>
      </c>
      <c r="B3541" s="4" t="str">
        <f>"39712022060511432189917"</f>
        <v>39712022060511432189917</v>
      </c>
      <c r="C3541" s="4" t="s">
        <v>28</v>
      </c>
      <c r="D3541" s="4" t="str">
        <f>"钟燕含"</f>
        <v>钟燕含</v>
      </c>
      <c r="E3541" s="4" t="str">
        <f t="shared" si="137"/>
        <v>女</v>
      </c>
    </row>
    <row r="3542" spans="1:5" ht="30" customHeight="1">
      <c r="A3542" s="4">
        <v>3540</v>
      </c>
      <c r="B3542" s="4" t="str">
        <f>"39712022060512040389950"</f>
        <v>39712022060512040389950</v>
      </c>
      <c r="C3542" s="4" t="s">
        <v>28</v>
      </c>
      <c r="D3542" s="4" t="str">
        <f>"唐惠敏"</f>
        <v>唐惠敏</v>
      </c>
      <c r="E3542" s="4" t="str">
        <f t="shared" si="137"/>
        <v>女</v>
      </c>
    </row>
    <row r="3543" spans="1:5" ht="30" customHeight="1">
      <c r="A3543" s="4">
        <v>3541</v>
      </c>
      <c r="B3543" s="4" t="str">
        <f>"39712022060512240589977"</f>
        <v>39712022060512240589977</v>
      </c>
      <c r="C3543" s="4" t="s">
        <v>28</v>
      </c>
      <c r="D3543" s="4" t="str">
        <f>"李杏"</f>
        <v>李杏</v>
      </c>
      <c r="E3543" s="4" t="str">
        <f t="shared" si="137"/>
        <v>女</v>
      </c>
    </row>
    <row r="3544" spans="1:5" ht="30" customHeight="1">
      <c r="A3544" s="4">
        <v>3542</v>
      </c>
      <c r="B3544" s="4" t="str">
        <f>"39712022060512363889990"</f>
        <v>39712022060512363889990</v>
      </c>
      <c r="C3544" s="4" t="s">
        <v>28</v>
      </c>
      <c r="D3544" s="4" t="str">
        <f>"温国艳"</f>
        <v>温国艳</v>
      </c>
      <c r="E3544" s="4" t="str">
        <f t="shared" si="137"/>
        <v>女</v>
      </c>
    </row>
    <row r="3545" spans="1:5" ht="30" customHeight="1">
      <c r="A3545" s="4">
        <v>3543</v>
      </c>
      <c r="B3545" s="4" t="str">
        <f>"39712022060513082990022"</f>
        <v>39712022060513082990022</v>
      </c>
      <c r="C3545" s="4" t="s">
        <v>28</v>
      </c>
      <c r="D3545" s="4" t="str">
        <f>"韩静"</f>
        <v>韩静</v>
      </c>
      <c r="E3545" s="4" t="str">
        <f t="shared" si="137"/>
        <v>女</v>
      </c>
    </row>
    <row r="3546" spans="1:5" ht="30" customHeight="1">
      <c r="A3546" s="4">
        <v>3544</v>
      </c>
      <c r="B3546" s="4" t="str">
        <f>"39712022060513103990024"</f>
        <v>39712022060513103990024</v>
      </c>
      <c r="C3546" s="4" t="s">
        <v>28</v>
      </c>
      <c r="D3546" s="4" t="str">
        <f>"周振誉"</f>
        <v>周振誉</v>
      </c>
      <c r="E3546" s="4" t="str">
        <f>"男"</f>
        <v>男</v>
      </c>
    </row>
    <row r="3547" spans="1:5" ht="30" customHeight="1">
      <c r="A3547" s="4">
        <v>3545</v>
      </c>
      <c r="B3547" s="4" t="str">
        <f>"39712022060513263790049"</f>
        <v>39712022060513263790049</v>
      </c>
      <c r="C3547" s="4" t="s">
        <v>28</v>
      </c>
      <c r="D3547" s="4" t="str">
        <f>"史景艺"</f>
        <v>史景艺</v>
      </c>
      <c r="E3547" s="4" t="str">
        <f aca="true" t="shared" si="138" ref="E3547:E3569">"女"</f>
        <v>女</v>
      </c>
    </row>
    <row r="3548" spans="1:5" ht="30" customHeight="1">
      <c r="A3548" s="4">
        <v>3546</v>
      </c>
      <c r="B3548" s="4" t="str">
        <f>"39712022060513272690050"</f>
        <v>39712022060513272690050</v>
      </c>
      <c r="C3548" s="4" t="s">
        <v>28</v>
      </c>
      <c r="D3548" s="4" t="str">
        <f>"苏先敏"</f>
        <v>苏先敏</v>
      </c>
      <c r="E3548" s="4" t="str">
        <f t="shared" si="138"/>
        <v>女</v>
      </c>
    </row>
    <row r="3549" spans="1:5" ht="30" customHeight="1">
      <c r="A3549" s="4">
        <v>3547</v>
      </c>
      <c r="B3549" s="4" t="str">
        <f>"39712022060513582690091"</f>
        <v>39712022060513582690091</v>
      </c>
      <c r="C3549" s="4" t="s">
        <v>28</v>
      </c>
      <c r="D3549" s="4" t="str">
        <f>"王花"</f>
        <v>王花</v>
      </c>
      <c r="E3549" s="4" t="str">
        <f t="shared" si="138"/>
        <v>女</v>
      </c>
    </row>
    <row r="3550" spans="1:5" ht="30" customHeight="1">
      <c r="A3550" s="4">
        <v>3548</v>
      </c>
      <c r="B3550" s="4" t="str">
        <f>"39712022060515121090170"</f>
        <v>39712022060515121090170</v>
      </c>
      <c r="C3550" s="4" t="s">
        <v>28</v>
      </c>
      <c r="D3550" s="4" t="str">
        <f>"陈小静"</f>
        <v>陈小静</v>
      </c>
      <c r="E3550" s="4" t="str">
        <f t="shared" si="138"/>
        <v>女</v>
      </c>
    </row>
    <row r="3551" spans="1:5" ht="30" customHeight="1">
      <c r="A3551" s="4">
        <v>3549</v>
      </c>
      <c r="B3551" s="4" t="str">
        <f>"39712022060515222190186"</f>
        <v>39712022060515222190186</v>
      </c>
      <c r="C3551" s="4" t="s">
        <v>28</v>
      </c>
      <c r="D3551" s="4" t="str">
        <f>"梁晓灵"</f>
        <v>梁晓灵</v>
      </c>
      <c r="E3551" s="4" t="str">
        <f t="shared" si="138"/>
        <v>女</v>
      </c>
    </row>
    <row r="3552" spans="1:5" ht="30" customHeight="1">
      <c r="A3552" s="4">
        <v>3550</v>
      </c>
      <c r="B3552" s="4" t="str">
        <f>"39712022060515325690196"</f>
        <v>39712022060515325690196</v>
      </c>
      <c r="C3552" s="4" t="s">
        <v>28</v>
      </c>
      <c r="D3552" s="4" t="str">
        <f>"古庭玮"</f>
        <v>古庭玮</v>
      </c>
      <c r="E3552" s="4" t="str">
        <f t="shared" si="138"/>
        <v>女</v>
      </c>
    </row>
    <row r="3553" spans="1:5" ht="30" customHeight="1">
      <c r="A3553" s="4">
        <v>3551</v>
      </c>
      <c r="B3553" s="4" t="str">
        <f>"39712022060515454190214"</f>
        <v>39712022060515454190214</v>
      </c>
      <c r="C3553" s="4" t="s">
        <v>28</v>
      </c>
      <c r="D3553" s="4" t="str">
        <f>"李肖玫"</f>
        <v>李肖玫</v>
      </c>
      <c r="E3553" s="4" t="str">
        <f t="shared" si="138"/>
        <v>女</v>
      </c>
    </row>
    <row r="3554" spans="1:5" ht="30" customHeight="1">
      <c r="A3554" s="4">
        <v>3552</v>
      </c>
      <c r="B3554" s="4" t="str">
        <f>"39712022060515480790219"</f>
        <v>39712022060515480790219</v>
      </c>
      <c r="C3554" s="4" t="s">
        <v>28</v>
      </c>
      <c r="D3554" s="4" t="str">
        <f>"罗敏"</f>
        <v>罗敏</v>
      </c>
      <c r="E3554" s="4" t="str">
        <f t="shared" si="138"/>
        <v>女</v>
      </c>
    </row>
    <row r="3555" spans="1:5" ht="30" customHeight="1">
      <c r="A3555" s="4">
        <v>3553</v>
      </c>
      <c r="B3555" s="4" t="str">
        <f>"39712022060516120590246"</f>
        <v>39712022060516120590246</v>
      </c>
      <c r="C3555" s="4" t="s">
        <v>28</v>
      </c>
      <c r="D3555" s="4" t="str">
        <f>"陶玲"</f>
        <v>陶玲</v>
      </c>
      <c r="E3555" s="4" t="str">
        <f t="shared" si="138"/>
        <v>女</v>
      </c>
    </row>
    <row r="3556" spans="1:5" ht="30" customHeight="1">
      <c r="A3556" s="4">
        <v>3554</v>
      </c>
      <c r="B3556" s="4" t="str">
        <f>"39712022060516201690260"</f>
        <v>39712022060516201690260</v>
      </c>
      <c r="C3556" s="4" t="s">
        <v>28</v>
      </c>
      <c r="D3556" s="4" t="str">
        <f>"林媛"</f>
        <v>林媛</v>
      </c>
      <c r="E3556" s="4" t="str">
        <f t="shared" si="138"/>
        <v>女</v>
      </c>
    </row>
    <row r="3557" spans="1:5" ht="30" customHeight="1">
      <c r="A3557" s="4">
        <v>3555</v>
      </c>
      <c r="B3557" s="4" t="str">
        <f>"39712022060516310090273"</f>
        <v>39712022060516310090273</v>
      </c>
      <c r="C3557" s="4" t="s">
        <v>28</v>
      </c>
      <c r="D3557" s="4" t="str">
        <f>"吴美萱"</f>
        <v>吴美萱</v>
      </c>
      <c r="E3557" s="4" t="str">
        <f t="shared" si="138"/>
        <v>女</v>
      </c>
    </row>
    <row r="3558" spans="1:5" ht="30" customHeight="1">
      <c r="A3558" s="4">
        <v>3556</v>
      </c>
      <c r="B3558" s="4" t="str">
        <f>"39712022060516312290274"</f>
        <v>39712022060516312290274</v>
      </c>
      <c r="C3558" s="4" t="s">
        <v>28</v>
      </c>
      <c r="D3558" s="4" t="str">
        <f>"罗天蝉"</f>
        <v>罗天蝉</v>
      </c>
      <c r="E3558" s="4" t="str">
        <f t="shared" si="138"/>
        <v>女</v>
      </c>
    </row>
    <row r="3559" spans="1:5" ht="30" customHeight="1">
      <c r="A3559" s="4">
        <v>3557</v>
      </c>
      <c r="B3559" s="4" t="str">
        <f>"39712022060516324190279"</f>
        <v>39712022060516324190279</v>
      </c>
      <c r="C3559" s="4" t="s">
        <v>28</v>
      </c>
      <c r="D3559" s="4" t="str">
        <f>"冯大娇"</f>
        <v>冯大娇</v>
      </c>
      <c r="E3559" s="4" t="str">
        <f t="shared" si="138"/>
        <v>女</v>
      </c>
    </row>
    <row r="3560" spans="1:5" ht="30" customHeight="1">
      <c r="A3560" s="4">
        <v>3558</v>
      </c>
      <c r="B3560" s="4" t="str">
        <f>"39712022060516340590282"</f>
        <v>39712022060516340590282</v>
      </c>
      <c r="C3560" s="4" t="s">
        <v>28</v>
      </c>
      <c r="D3560" s="4" t="str">
        <f>"王素净"</f>
        <v>王素净</v>
      </c>
      <c r="E3560" s="4" t="str">
        <f t="shared" si="138"/>
        <v>女</v>
      </c>
    </row>
    <row r="3561" spans="1:5" ht="30" customHeight="1">
      <c r="A3561" s="4">
        <v>3559</v>
      </c>
      <c r="B3561" s="4" t="str">
        <f>"39712022060516345090284"</f>
        <v>39712022060516345090284</v>
      </c>
      <c r="C3561" s="4" t="s">
        <v>28</v>
      </c>
      <c r="D3561" s="4" t="str">
        <f>"陈霜"</f>
        <v>陈霜</v>
      </c>
      <c r="E3561" s="4" t="str">
        <f t="shared" si="138"/>
        <v>女</v>
      </c>
    </row>
    <row r="3562" spans="1:5" ht="30" customHeight="1">
      <c r="A3562" s="4">
        <v>3560</v>
      </c>
      <c r="B3562" s="4" t="str">
        <f>"39712022060516373990287"</f>
        <v>39712022060516373990287</v>
      </c>
      <c r="C3562" s="4" t="s">
        <v>28</v>
      </c>
      <c r="D3562" s="4" t="str">
        <f>"林梅"</f>
        <v>林梅</v>
      </c>
      <c r="E3562" s="4" t="str">
        <f t="shared" si="138"/>
        <v>女</v>
      </c>
    </row>
    <row r="3563" spans="1:5" ht="30" customHeight="1">
      <c r="A3563" s="4">
        <v>3561</v>
      </c>
      <c r="B3563" s="4" t="str">
        <f>"39712022060517150190353"</f>
        <v>39712022060517150190353</v>
      </c>
      <c r="C3563" s="4" t="s">
        <v>28</v>
      </c>
      <c r="D3563" s="4" t="str">
        <f>"王小环"</f>
        <v>王小环</v>
      </c>
      <c r="E3563" s="4" t="str">
        <f t="shared" si="138"/>
        <v>女</v>
      </c>
    </row>
    <row r="3564" spans="1:5" ht="30" customHeight="1">
      <c r="A3564" s="4">
        <v>3562</v>
      </c>
      <c r="B3564" s="4" t="str">
        <f>"39712022060517184290358"</f>
        <v>39712022060517184290358</v>
      </c>
      <c r="C3564" s="4" t="s">
        <v>28</v>
      </c>
      <c r="D3564" s="4" t="str">
        <f>"谢锦芬"</f>
        <v>谢锦芬</v>
      </c>
      <c r="E3564" s="4" t="str">
        <f t="shared" si="138"/>
        <v>女</v>
      </c>
    </row>
    <row r="3565" spans="1:5" ht="30" customHeight="1">
      <c r="A3565" s="4">
        <v>3563</v>
      </c>
      <c r="B3565" s="4" t="str">
        <f>"39712022060517200490361"</f>
        <v>39712022060517200490361</v>
      </c>
      <c r="C3565" s="4" t="s">
        <v>28</v>
      </c>
      <c r="D3565" s="4" t="str">
        <f>"陈颖"</f>
        <v>陈颖</v>
      </c>
      <c r="E3565" s="4" t="str">
        <f t="shared" si="138"/>
        <v>女</v>
      </c>
    </row>
    <row r="3566" spans="1:5" ht="30" customHeight="1">
      <c r="A3566" s="4">
        <v>3564</v>
      </c>
      <c r="B3566" s="4" t="str">
        <f>"39712022060517403290388"</f>
        <v>39712022060517403290388</v>
      </c>
      <c r="C3566" s="4" t="s">
        <v>28</v>
      </c>
      <c r="D3566" s="4" t="str">
        <f>"李莹"</f>
        <v>李莹</v>
      </c>
      <c r="E3566" s="4" t="str">
        <f t="shared" si="138"/>
        <v>女</v>
      </c>
    </row>
    <row r="3567" spans="1:5" ht="30" customHeight="1">
      <c r="A3567" s="4">
        <v>3565</v>
      </c>
      <c r="B3567" s="4" t="str">
        <f>"39712022060518332690456"</f>
        <v>39712022060518332690456</v>
      </c>
      <c r="C3567" s="4" t="s">
        <v>28</v>
      </c>
      <c r="D3567" s="4" t="str">
        <f>"江夏茹"</f>
        <v>江夏茹</v>
      </c>
      <c r="E3567" s="4" t="str">
        <f t="shared" si="138"/>
        <v>女</v>
      </c>
    </row>
    <row r="3568" spans="1:5" ht="30" customHeight="1">
      <c r="A3568" s="4">
        <v>3566</v>
      </c>
      <c r="B3568" s="4" t="str">
        <f>"39712022060518402990465"</f>
        <v>39712022060518402990465</v>
      </c>
      <c r="C3568" s="4" t="s">
        <v>28</v>
      </c>
      <c r="D3568" s="4" t="str">
        <f>"冯妃"</f>
        <v>冯妃</v>
      </c>
      <c r="E3568" s="4" t="str">
        <f t="shared" si="138"/>
        <v>女</v>
      </c>
    </row>
    <row r="3569" spans="1:5" ht="30" customHeight="1">
      <c r="A3569" s="4">
        <v>3567</v>
      </c>
      <c r="B3569" s="4" t="str">
        <f>"39712022060518504890472"</f>
        <v>39712022060518504890472</v>
      </c>
      <c r="C3569" s="4" t="s">
        <v>28</v>
      </c>
      <c r="D3569" s="4" t="str">
        <f>"黄丹丹"</f>
        <v>黄丹丹</v>
      </c>
      <c r="E3569" s="4" t="str">
        <f t="shared" si="138"/>
        <v>女</v>
      </c>
    </row>
    <row r="3570" spans="1:5" ht="30" customHeight="1">
      <c r="A3570" s="4">
        <v>3568</v>
      </c>
      <c r="B3570" s="4" t="str">
        <f>"39712022060518570190484"</f>
        <v>39712022060518570190484</v>
      </c>
      <c r="C3570" s="4" t="s">
        <v>28</v>
      </c>
      <c r="D3570" s="4" t="str">
        <f>"黄炳龙"</f>
        <v>黄炳龙</v>
      </c>
      <c r="E3570" s="4" t="str">
        <f>"男"</f>
        <v>男</v>
      </c>
    </row>
    <row r="3571" spans="1:5" ht="30" customHeight="1">
      <c r="A3571" s="4">
        <v>3569</v>
      </c>
      <c r="B3571" s="4" t="str">
        <f>"39712022060518571790485"</f>
        <v>39712022060518571790485</v>
      </c>
      <c r="C3571" s="4" t="s">
        <v>28</v>
      </c>
      <c r="D3571" s="4" t="str">
        <f>"韩佳佳"</f>
        <v>韩佳佳</v>
      </c>
      <c r="E3571" s="4" t="str">
        <f aca="true" t="shared" si="139" ref="E3571:E3581">"女"</f>
        <v>女</v>
      </c>
    </row>
    <row r="3572" spans="1:5" ht="30" customHeight="1">
      <c r="A3572" s="4">
        <v>3570</v>
      </c>
      <c r="B3572" s="4" t="str">
        <f>"39712022060519024190495"</f>
        <v>39712022060519024190495</v>
      </c>
      <c r="C3572" s="4" t="s">
        <v>28</v>
      </c>
      <c r="D3572" s="4" t="str">
        <f>"詹美清"</f>
        <v>詹美清</v>
      </c>
      <c r="E3572" s="4" t="str">
        <f t="shared" si="139"/>
        <v>女</v>
      </c>
    </row>
    <row r="3573" spans="1:5" ht="30" customHeight="1">
      <c r="A3573" s="4">
        <v>3571</v>
      </c>
      <c r="B3573" s="4" t="str">
        <f>"39712022060519034190496"</f>
        <v>39712022060519034190496</v>
      </c>
      <c r="C3573" s="4" t="s">
        <v>28</v>
      </c>
      <c r="D3573" s="4" t="str">
        <f>"陈丹丹"</f>
        <v>陈丹丹</v>
      </c>
      <c r="E3573" s="4" t="str">
        <f t="shared" si="139"/>
        <v>女</v>
      </c>
    </row>
    <row r="3574" spans="1:5" ht="30" customHeight="1">
      <c r="A3574" s="4">
        <v>3572</v>
      </c>
      <c r="B3574" s="4" t="str">
        <f>"39712022060519070590498"</f>
        <v>39712022060519070590498</v>
      </c>
      <c r="C3574" s="4" t="s">
        <v>28</v>
      </c>
      <c r="D3574" s="4" t="str">
        <f>"董海玲"</f>
        <v>董海玲</v>
      </c>
      <c r="E3574" s="4" t="str">
        <f t="shared" si="139"/>
        <v>女</v>
      </c>
    </row>
    <row r="3575" spans="1:5" ht="30" customHeight="1">
      <c r="A3575" s="4">
        <v>3573</v>
      </c>
      <c r="B3575" s="4" t="str">
        <f>"39712022060519213890516"</f>
        <v>39712022060519213890516</v>
      </c>
      <c r="C3575" s="4" t="s">
        <v>28</v>
      </c>
      <c r="D3575" s="4" t="str">
        <f>"孙歆琦"</f>
        <v>孙歆琦</v>
      </c>
      <c r="E3575" s="4" t="str">
        <f t="shared" si="139"/>
        <v>女</v>
      </c>
    </row>
    <row r="3576" spans="1:5" ht="30" customHeight="1">
      <c r="A3576" s="4">
        <v>3574</v>
      </c>
      <c r="B3576" s="4" t="str">
        <f>"39712022060520172590587"</f>
        <v>39712022060520172590587</v>
      </c>
      <c r="C3576" s="4" t="s">
        <v>28</v>
      </c>
      <c r="D3576" s="4" t="str">
        <f>"薛秀乾"</f>
        <v>薛秀乾</v>
      </c>
      <c r="E3576" s="4" t="str">
        <f t="shared" si="139"/>
        <v>女</v>
      </c>
    </row>
    <row r="3577" spans="1:5" ht="30" customHeight="1">
      <c r="A3577" s="4">
        <v>3575</v>
      </c>
      <c r="B3577" s="4" t="str">
        <f>"39712022060520175190590"</f>
        <v>39712022060520175190590</v>
      </c>
      <c r="C3577" s="4" t="s">
        <v>28</v>
      </c>
      <c r="D3577" s="4" t="str">
        <f>"戴惠红"</f>
        <v>戴惠红</v>
      </c>
      <c r="E3577" s="4" t="str">
        <f t="shared" si="139"/>
        <v>女</v>
      </c>
    </row>
    <row r="3578" spans="1:5" ht="30" customHeight="1">
      <c r="A3578" s="4">
        <v>3576</v>
      </c>
      <c r="B3578" s="4" t="str">
        <f>"39712022060520181590591"</f>
        <v>39712022060520181590591</v>
      </c>
      <c r="C3578" s="4" t="s">
        <v>28</v>
      </c>
      <c r="D3578" s="4" t="str">
        <f>"黄晓丹"</f>
        <v>黄晓丹</v>
      </c>
      <c r="E3578" s="4" t="str">
        <f t="shared" si="139"/>
        <v>女</v>
      </c>
    </row>
    <row r="3579" spans="1:5" ht="30" customHeight="1">
      <c r="A3579" s="4">
        <v>3577</v>
      </c>
      <c r="B3579" s="4" t="str">
        <f>"39712022060520364190617"</f>
        <v>39712022060520364190617</v>
      </c>
      <c r="C3579" s="4" t="s">
        <v>28</v>
      </c>
      <c r="D3579" s="4" t="str">
        <f>"黄雪林"</f>
        <v>黄雪林</v>
      </c>
      <c r="E3579" s="4" t="str">
        <f t="shared" si="139"/>
        <v>女</v>
      </c>
    </row>
    <row r="3580" spans="1:5" ht="30" customHeight="1">
      <c r="A3580" s="4">
        <v>3578</v>
      </c>
      <c r="B3580" s="4" t="str">
        <f>"39712022060520533190634"</f>
        <v>39712022060520533190634</v>
      </c>
      <c r="C3580" s="4" t="s">
        <v>28</v>
      </c>
      <c r="D3580" s="4" t="str">
        <f>"赵敏敏"</f>
        <v>赵敏敏</v>
      </c>
      <c r="E3580" s="4" t="str">
        <f t="shared" si="139"/>
        <v>女</v>
      </c>
    </row>
    <row r="3581" spans="1:5" ht="30" customHeight="1">
      <c r="A3581" s="4">
        <v>3579</v>
      </c>
      <c r="B3581" s="4" t="str">
        <f>"39712022060521014890646"</f>
        <v>39712022060521014890646</v>
      </c>
      <c r="C3581" s="4" t="s">
        <v>28</v>
      </c>
      <c r="D3581" s="4" t="str">
        <f>"邱玉莹"</f>
        <v>邱玉莹</v>
      </c>
      <c r="E3581" s="4" t="str">
        <f t="shared" si="139"/>
        <v>女</v>
      </c>
    </row>
    <row r="3582" spans="1:5" ht="30" customHeight="1">
      <c r="A3582" s="4">
        <v>3580</v>
      </c>
      <c r="B3582" s="4" t="str">
        <f>"39712022060521053690652"</f>
        <v>39712022060521053690652</v>
      </c>
      <c r="C3582" s="4" t="s">
        <v>28</v>
      </c>
      <c r="D3582" s="4" t="str">
        <f>"许邦栋"</f>
        <v>许邦栋</v>
      </c>
      <c r="E3582" s="4" t="str">
        <f>"男"</f>
        <v>男</v>
      </c>
    </row>
    <row r="3583" spans="1:5" ht="30" customHeight="1">
      <c r="A3583" s="4">
        <v>3581</v>
      </c>
      <c r="B3583" s="4" t="str">
        <f>"39712022060521164690735"</f>
        <v>39712022060521164690735</v>
      </c>
      <c r="C3583" s="4" t="s">
        <v>28</v>
      </c>
      <c r="D3583" s="4" t="str">
        <f>"陈婉青"</f>
        <v>陈婉青</v>
      </c>
      <c r="E3583" s="4" t="str">
        <f aca="true" t="shared" si="140" ref="E3583:E3605">"女"</f>
        <v>女</v>
      </c>
    </row>
    <row r="3584" spans="1:5" ht="30" customHeight="1">
      <c r="A3584" s="4">
        <v>3582</v>
      </c>
      <c r="B3584" s="4" t="str">
        <f>"39712022060521165590736"</f>
        <v>39712022060521165590736</v>
      </c>
      <c r="C3584" s="4" t="s">
        <v>28</v>
      </c>
      <c r="D3584" s="4" t="str">
        <f>"冷姗姗"</f>
        <v>冷姗姗</v>
      </c>
      <c r="E3584" s="4" t="str">
        <f t="shared" si="140"/>
        <v>女</v>
      </c>
    </row>
    <row r="3585" spans="1:5" ht="30" customHeight="1">
      <c r="A3585" s="4">
        <v>3583</v>
      </c>
      <c r="B3585" s="4" t="str">
        <f>"39712022060521233190752"</f>
        <v>39712022060521233190752</v>
      </c>
      <c r="C3585" s="4" t="s">
        <v>28</v>
      </c>
      <c r="D3585" s="4" t="str">
        <f>"陈海灵"</f>
        <v>陈海灵</v>
      </c>
      <c r="E3585" s="4" t="str">
        <f t="shared" si="140"/>
        <v>女</v>
      </c>
    </row>
    <row r="3586" spans="1:5" ht="30" customHeight="1">
      <c r="A3586" s="4">
        <v>3584</v>
      </c>
      <c r="B3586" s="4" t="str">
        <f>"39712022060521300690763"</f>
        <v>39712022060521300690763</v>
      </c>
      <c r="C3586" s="4" t="s">
        <v>28</v>
      </c>
      <c r="D3586" s="4" t="str">
        <f>"尹盈茹"</f>
        <v>尹盈茹</v>
      </c>
      <c r="E3586" s="4" t="str">
        <f t="shared" si="140"/>
        <v>女</v>
      </c>
    </row>
    <row r="3587" spans="1:5" ht="30" customHeight="1">
      <c r="A3587" s="4">
        <v>3585</v>
      </c>
      <c r="B3587" s="4" t="str">
        <f>"39712022060521392990781"</f>
        <v>39712022060521392990781</v>
      </c>
      <c r="C3587" s="4" t="s">
        <v>28</v>
      </c>
      <c r="D3587" s="4" t="str">
        <f>"郑茹"</f>
        <v>郑茹</v>
      </c>
      <c r="E3587" s="4" t="str">
        <f t="shared" si="140"/>
        <v>女</v>
      </c>
    </row>
    <row r="3588" spans="1:5" ht="30" customHeight="1">
      <c r="A3588" s="4">
        <v>3586</v>
      </c>
      <c r="B3588" s="4" t="str">
        <f>"39712022060521393190782"</f>
        <v>39712022060521393190782</v>
      </c>
      <c r="C3588" s="4" t="s">
        <v>28</v>
      </c>
      <c r="D3588" s="4" t="str">
        <f>"李苏婷"</f>
        <v>李苏婷</v>
      </c>
      <c r="E3588" s="4" t="str">
        <f t="shared" si="140"/>
        <v>女</v>
      </c>
    </row>
    <row r="3589" spans="1:5" ht="30" customHeight="1">
      <c r="A3589" s="4">
        <v>3587</v>
      </c>
      <c r="B3589" s="4" t="str">
        <f>"39712022060521404490785"</f>
        <v>39712022060521404490785</v>
      </c>
      <c r="C3589" s="4" t="s">
        <v>28</v>
      </c>
      <c r="D3589" s="4" t="str">
        <f>"谭景珊"</f>
        <v>谭景珊</v>
      </c>
      <c r="E3589" s="4" t="str">
        <f t="shared" si="140"/>
        <v>女</v>
      </c>
    </row>
    <row r="3590" spans="1:5" ht="30" customHeight="1">
      <c r="A3590" s="4">
        <v>3588</v>
      </c>
      <c r="B3590" s="4" t="str">
        <f>"39712022060521480890796"</f>
        <v>39712022060521480890796</v>
      </c>
      <c r="C3590" s="4" t="s">
        <v>28</v>
      </c>
      <c r="D3590" s="4" t="str">
        <f>"尹志敏"</f>
        <v>尹志敏</v>
      </c>
      <c r="E3590" s="4" t="str">
        <f t="shared" si="140"/>
        <v>女</v>
      </c>
    </row>
    <row r="3591" spans="1:5" ht="30" customHeight="1">
      <c r="A3591" s="4">
        <v>3589</v>
      </c>
      <c r="B3591" s="4" t="str">
        <f>"39712022060521582590814"</f>
        <v>39712022060521582590814</v>
      </c>
      <c r="C3591" s="4" t="s">
        <v>28</v>
      </c>
      <c r="D3591" s="4" t="str">
        <f>"李丽霞"</f>
        <v>李丽霞</v>
      </c>
      <c r="E3591" s="4" t="str">
        <f t="shared" si="140"/>
        <v>女</v>
      </c>
    </row>
    <row r="3592" spans="1:5" ht="30" customHeight="1">
      <c r="A3592" s="4">
        <v>3590</v>
      </c>
      <c r="B3592" s="4" t="str">
        <f>"39712022060522070590823"</f>
        <v>39712022060522070590823</v>
      </c>
      <c r="C3592" s="4" t="s">
        <v>28</v>
      </c>
      <c r="D3592" s="4" t="str">
        <f>"钟敏妮"</f>
        <v>钟敏妮</v>
      </c>
      <c r="E3592" s="4" t="str">
        <f t="shared" si="140"/>
        <v>女</v>
      </c>
    </row>
    <row r="3593" spans="1:5" ht="30" customHeight="1">
      <c r="A3593" s="4">
        <v>3591</v>
      </c>
      <c r="B3593" s="4" t="str">
        <f>"39712022060522085490824"</f>
        <v>39712022060522085490824</v>
      </c>
      <c r="C3593" s="4" t="s">
        <v>28</v>
      </c>
      <c r="D3593" s="4" t="str">
        <f>"郑婷"</f>
        <v>郑婷</v>
      </c>
      <c r="E3593" s="4" t="str">
        <f t="shared" si="140"/>
        <v>女</v>
      </c>
    </row>
    <row r="3594" spans="1:5" ht="30" customHeight="1">
      <c r="A3594" s="4">
        <v>3592</v>
      </c>
      <c r="B3594" s="4" t="str">
        <f>"39712022060522122490828"</f>
        <v>39712022060522122490828</v>
      </c>
      <c r="C3594" s="4" t="s">
        <v>28</v>
      </c>
      <c r="D3594" s="4" t="str">
        <f>"羊城慧"</f>
        <v>羊城慧</v>
      </c>
      <c r="E3594" s="4" t="str">
        <f t="shared" si="140"/>
        <v>女</v>
      </c>
    </row>
    <row r="3595" spans="1:5" ht="30" customHeight="1">
      <c r="A3595" s="4">
        <v>3593</v>
      </c>
      <c r="B3595" s="4" t="str">
        <f>"39712022060522251190855"</f>
        <v>39712022060522251190855</v>
      </c>
      <c r="C3595" s="4" t="s">
        <v>28</v>
      </c>
      <c r="D3595" s="4" t="str">
        <f>"吴太琴"</f>
        <v>吴太琴</v>
      </c>
      <c r="E3595" s="4" t="str">
        <f t="shared" si="140"/>
        <v>女</v>
      </c>
    </row>
    <row r="3596" spans="1:5" ht="30" customHeight="1">
      <c r="A3596" s="4">
        <v>3594</v>
      </c>
      <c r="B3596" s="4" t="str">
        <f>"39712022060522260690858"</f>
        <v>39712022060522260690858</v>
      </c>
      <c r="C3596" s="4" t="s">
        <v>28</v>
      </c>
      <c r="D3596" s="4" t="str">
        <f>"冯晓柳"</f>
        <v>冯晓柳</v>
      </c>
      <c r="E3596" s="4" t="str">
        <f t="shared" si="140"/>
        <v>女</v>
      </c>
    </row>
    <row r="3597" spans="1:5" ht="30" customHeight="1">
      <c r="A3597" s="4">
        <v>3595</v>
      </c>
      <c r="B3597" s="4" t="str">
        <f>"39712022060522323990870"</f>
        <v>39712022060522323990870</v>
      </c>
      <c r="C3597" s="4" t="s">
        <v>28</v>
      </c>
      <c r="D3597" s="4" t="str">
        <f>"赵学清"</f>
        <v>赵学清</v>
      </c>
      <c r="E3597" s="4" t="str">
        <f t="shared" si="140"/>
        <v>女</v>
      </c>
    </row>
    <row r="3598" spans="1:5" ht="30" customHeight="1">
      <c r="A3598" s="4">
        <v>3596</v>
      </c>
      <c r="B3598" s="4" t="str">
        <f>"39712022060522383790882"</f>
        <v>39712022060522383790882</v>
      </c>
      <c r="C3598" s="4" t="s">
        <v>28</v>
      </c>
      <c r="D3598" s="4" t="str">
        <f>"蒙颖盈"</f>
        <v>蒙颖盈</v>
      </c>
      <c r="E3598" s="4" t="str">
        <f t="shared" si="140"/>
        <v>女</v>
      </c>
    </row>
    <row r="3599" spans="1:5" ht="30" customHeight="1">
      <c r="A3599" s="4">
        <v>3597</v>
      </c>
      <c r="B3599" s="4" t="str">
        <f>"39712022060522524690901"</f>
        <v>39712022060522524690901</v>
      </c>
      <c r="C3599" s="4" t="s">
        <v>28</v>
      </c>
      <c r="D3599" s="4" t="str">
        <f>"莫少婷"</f>
        <v>莫少婷</v>
      </c>
      <c r="E3599" s="4" t="str">
        <f t="shared" si="140"/>
        <v>女</v>
      </c>
    </row>
    <row r="3600" spans="1:5" ht="30" customHeight="1">
      <c r="A3600" s="4">
        <v>3598</v>
      </c>
      <c r="B3600" s="4" t="str">
        <f>"39712022060522550690906"</f>
        <v>39712022060522550690906</v>
      </c>
      <c r="C3600" s="4" t="s">
        <v>28</v>
      </c>
      <c r="D3600" s="4" t="str">
        <f>"庞凤蕊"</f>
        <v>庞凤蕊</v>
      </c>
      <c r="E3600" s="4" t="str">
        <f t="shared" si="140"/>
        <v>女</v>
      </c>
    </row>
    <row r="3601" spans="1:5" ht="30" customHeight="1">
      <c r="A3601" s="4">
        <v>3599</v>
      </c>
      <c r="B3601" s="4" t="str">
        <f>"39712022060522575690909"</f>
        <v>39712022060522575690909</v>
      </c>
      <c r="C3601" s="4" t="s">
        <v>28</v>
      </c>
      <c r="D3601" s="4" t="str">
        <f>"陈佳佳"</f>
        <v>陈佳佳</v>
      </c>
      <c r="E3601" s="4" t="str">
        <f t="shared" si="140"/>
        <v>女</v>
      </c>
    </row>
    <row r="3602" spans="1:5" ht="30" customHeight="1">
      <c r="A3602" s="4">
        <v>3600</v>
      </c>
      <c r="B3602" s="4" t="str">
        <f>"39712022060523034090922"</f>
        <v>39712022060523034090922</v>
      </c>
      <c r="C3602" s="4" t="s">
        <v>28</v>
      </c>
      <c r="D3602" s="4" t="str">
        <f>"梁飞燕"</f>
        <v>梁飞燕</v>
      </c>
      <c r="E3602" s="4" t="str">
        <f t="shared" si="140"/>
        <v>女</v>
      </c>
    </row>
    <row r="3603" spans="1:5" ht="30" customHeight="1">
      <c r="A3603" s="4">
        <v>3601</v>
      </c>
      <c r="B3603" s="4" t="str">
        <f>"39712022060523063590923"</f>
        <v>39712022060523063590923</v>
      </c>
      <c r="C3603" s="4" t="s">
        <v>28</v>
      </c>
      <c r="D3603" s="4" t="str">
        <f>"黄来金"</f>
        <v>黄来金</v>
      </c>
      <c r="E3603" s="4" t="str">
        <f t="shared" si="140"/>
        <v>女</v>
      </c>
    </row>
    <row r="3604" spans="1:5" ht="30" customHeight="1">
      <c r="A3604" s="4">
        <v>3602</v>
      </c>
      <c r="B3604" s="4" t="str">
        <f>"39712022060523091290927"</f>
        <v>39712022060523091290927</v>
      </c>
      <c r="C3604" s="4" t="s">
        <v>28</v>
      </c>
      <c r="D3604" s="4" t="str">
        <f>"马敏敏"</f>
        <v>马敏敏</v>
      </c>
      <c r="E3604" s="4" t="str">
        <f t="shared" si="140"/>
        <v>女</v>
      </c>
    </row>
    <row r="3605" spans="1:5" ht="30" customHeight="1">
      <c r="A3605" s="4">
        <v>3603</v>
      </c>
      <c r="B3605" s="4" t="str">
        <f>"39712022060523101790929"</f>
        <v>39712022060523101790929</v>
      </c>
      <c r="C3605" s="4" t="s">
        <v>28</v>
      </c>
      <c r="D3605" s="4" t="str">
        <f>"李念珊"</f>
        <v>李念珊</v>
      </c>
      <c r="E3605" s="4" t="str">
        <f t="shared" si="140"/>
        <v>女</v>
      </c>
    </row>
    <row r="3606" spans="1:5" ht="30" customHeight="1">
      <c r="A3606" s="4">
        <v>3604</v>
      </c>
      <c r="B3606" s="4" t="str">
        <f>"39712022060523113890931"</f>
        <v>39712022060523113890931</v>
      </c>
      <c r="C3606" s="4" t="s">
        <v>28</v>
      </c>
      <c r="D3606" s="4" t="str">
        <f>"颜业畅"</f>
        <v>颜业畅</v>
      </c>
      <c r="E3606" s="4" t="str">
        <f>"男"</f>
        <v>男</v>
      </c>
    </row>
    <row r="3607" spans="1:5" ht="30" customHeight="1">
      <c r="A3607" s="4">
        <v>3605</v>
      </c>
      <c r="B3607" s="4" t="str">
        <f>"39712022060523133890935"</f>
        <v>39712022060523133890935</v>
      </c>
      <c r="C3607" s="4" t="s">
        <v>28</v>
      </c>
      <c r="D3607" s="4" t="str">
        <f>"王皇姑"</f>
        <v>王皇姑</v>
      </c>
      <c r="E3607" s="4" t="str">
        <f aca="true" t="shared" si="141" ref="E3607:E3616">"女"</f>
        <v>女</v>
      </c>
    </row>
    <row r="3608" spans="1:5" ht="30" customHeight="1">
      <c r="A3608" s="4">
        <v>3606</v>
      </c>
      <c r="B3608" s="4" t="str">
        <f>"39712022060523191790939"</f>
        <v>39712022060523191790939</v>
      </c>
      <c r="C3608" s="4" t="s">
        <v>28</v>
      </c>
      <c r="D3608" s="4" t="str">
        <f>"唐雨"</f>
        <v>唐雨</v>
      </c>
      <c r="E3608" s="4" t="str">
        <f t="shared" si="141"/>
        <v>女</v>
      </c>
    </row>
    <row r="3609" spans="1:5" ht="30" customHeight="1">
      <c r="A3609" s="4">
        <v>3607</v>
      </c>
      <c r="B3609" s="4" t="str">
        <f>"39712022060523193490940"</f>
        <v>39712022060523193490940</v>
      </c>
      <c r="C3609" s="4" t="s">
        <v>28</v>
      </c>
      <c r="D3609" s="4" t="str">
        <f>"郑羚"</f>
        <v>郑羚</v>
      </c>
      <c r="E3609" s="4" t="str">
        <f t="shared" si="141"/>
        <v>女</v>
      </c>
    </row>
    <row r="3610" spans="1:5" ht="30" customHeight="1">
      <c r="A3610" s="4">
        <v>3608</v>
      </c>
      <c r="B3610" s="4" t="str">
        <f>"39712022060523203490941"</f>
        <v>39712022060523203490941</v>
      </c>
      <c r="C3610" s="4" t="s">
        <v>28</v>
      </c>
      <c r="D3610" s="4" t="str">
        <f>"王凤"</f>
        <v>王凤</v>
      </c>
      <c r="E3610" s="4" t="str">
        <f t="shared" si="141"/>
        <v>女</v>
      </c>
    </row>
    <row r="3611" spans="1:5" ht="30" customHeight="1">
      <c r="A3611" s="4">
        <v>3609</v>
      </c>
      <c r="B3611" s="4" t="str">
        <f>"39712022060523203990942"</f>
        <v>39712022060523203990942</v>
      </c>
      <c r="C3611" s="4" t="s">
        <v>28</v>
      </c>
      <c r="D3611" s="4" t="str">
        <f>"陈莉"</f>
        <v>陈莉</v>
      </c>
      <c r="E3611" s="4" t="str">
        <f t="shared" si="141"/>
        <v>女</v>
      </c>
    </row>
    <row r="3612" spans="1:5" ht="30" customHeight="1">
      <c r="A3612" s="4">
        <v>3610</v>
      </c>
      <c r="B3612" s="4" t="str">
        <f>"39712022060523422190965"</f>
        <v>39712022060523422190965</v>
      </c>
      <c r="C3612" s="4" t="s">
        <v>28</v>
      </c>
      <c r="D3612" s="4" t="str">
        <f>"赵美佳"</f>
        <v>赵美佳</v>
      </c>
      <c r="E3612" s="4" t="str">
        <f t="shared" si="141"/>
        <v>女</v>
      </c>
    </row>
    <row r="3613" spans="1:5" ht="30" customHeight="1">
      <c r="A3613" s="4">
        <v>3611</v>
      </c>
      <c r="B3613" s="4" t="str">
        <f>"39712022060523480290971"</f>
        <v>39712022060523480290971</v>
      </c>
      <c r="C3613" s="4" t="s">
        <v>28</v>
      </c>
      <c r="D3613" s="4" t="str">
        <f>"钟慧"</f>
        <v>钟慧</v>
      </c>
      <c r="E3613" s="4" t="str">
        <f t="shared" si="141"/>
        <v>女</v>
      </c>
    </row>
    <row r="3614" spans="1:5" ht="30" customHeight="1">
      <c r="A3614" s="4">
        <v>3612</v>
      </c>
      <c r="B3614" s="4" t="str">
        <f>"39712022060523482290972"</f>
        <v>39712022060523482290972</v>
      </c>
      <c r="C3614" s="4" t="s">
        <v>28</v>
      </c>
      <c r="D3614" s="4" t="str">
        <f>"陈元花"</f>
        <v>陈元花</v>
      </c>
      <c r="E3614" s="4" t="str">
        <f t="shared" si="141"/>
        <v>女</v>
      </c>
    </row>
    <row r="3615" spans="1:5" ht="30" customHeight="1">
      <c r="A3615" s="4">
        <v>3613</v>
      </c>
      <c r="B3615" s="4" t="str">
        <f>"39712022060523532090977"</f>
        <v>39712022060523532090977</v>
      </c>
      <c r="C3615" s="4" t="s">
        <v>28</v>
      </c>
      <c r="D3615" s="4" t="str">
        <f>"洪海花"</f>
        <v>洪海花</v>
      </c>
      <c r="E3615" s="4" t="str">
        <f t="shared" si="141"/>
        <v>女</v>
      </c>
    </row>
    <row r="3616" spans="1:5" ht="30" customHeight="1">
      <c r="A3616" s="4">
        <v>3614</v>
      </c>
      <c r="B3616" s="4" t="str">
        <f>"39712022060523571090981"</f>
        <v>39712022060523571090981</v>
      </c>
      <c r="C3616" s="4" t="s">
        <v>28</v>
      </c>
      <c r="D3616" s="4" t="str">
        <f>"黄永芳"</f>
        <v>黄永芳</v>
      </c>
      <c r="E3616" s="4" t="str">
        <f t="shared" si="141"/>
        <v>女</v>
      </c>
    </row>
    <row r="3617" spans="1:5" ht="30" customHeight="1">
      <c r="A3617" s="4">
        <v>3615</v>
      </c>
      <c r="B3617" s="4" t="str">
        <f>"39712022060600224890992"</f>
        <v>39712022060600224890992</v>
      </c>
      <c r="C3617" s="4" t="s">
        <v>28</v>
      </c>
      <c r="D3617" s="4" t="str">
        <f>"曾其生"</f>
        <v>曾其生</v>
      </c>
      <c r="E3617" s="4" t="str">
        <f>"男"</f>
        <v>男</v>
      </c>
    </row>
    <row r="3618" spans="1:5" ht="30" customHeight="1">
      <c r="A3618" s="4">
        <v>3616</v>
      </c>
      <c r="B3618" s="4" t="str">
        <f>"39712022060600484691004"</f>
        <v>39712022060600484691004</v>
      </c>
      <c r="C3618" s="4" t="s">
        <v>28</v>
      </c>
      <c r="D3618" s="4" t="str">
        <f>"王紫馨"</f>
        <v>王紫馨</v>
      </c>
      <c r="E3618" s="4" t="str">
        <f aca="true" t="shared" si="142" ref="E3618:E3629">"女"</f>
        <v>女</v>
      </c>
    </row>
    <row r="3619" spans="1:5" ht="30" customHeight="1">
      <c r="A3619" s="4">
        <v>3617</v>
      </c>
      <c r="B3619" s="4" t="str">
        <f>"39712022060601002391013"</f>
        <v>39712022060601002391013</v>
      </c>
      <c r="C3619" s="4" t="s">
        <v>28</v>
      </c>
      <c r="D3619" s="4" t="str">
        <f>"潘春洁"</f>
        <v>潘春洁</v>
      </c>
      <c r="E3619" s="4" t="str">
        <f t="shared" si="142"/>
        <v>女</v>
      </c>
    </row>
    <row r="3620" spans="1:5" ht="30" customHeight="1">
      <c r="A3620" s="4">
        <v>3618</v>
      </c>
      <c r="B3620" s="4" t="str">
        <f>"39712022060602425991027"</f>
        <v>39712022060602425991027</v>
      </c>
      <c r="C3620" s="4" t="s">
        <v>28</v>
      </c>
      <c r="D3620" s="4" t="str">
        <f>"何荣芬"</f>
        <v>何荣芬</v>
      </c>
      <c r="E3620" s="4" t="str">
        <f t="shared" si="142"/>
        <v>女</v>
      </c>
    </row>
    <row r="3621" spans="1:5" ht="30" customHeight="1">
      <c r="A3621" s="4">
        <v>3619</v>
      </c>
      <c r="B3621" s="4" t="str">
        <f>"39712022060607352991045"</f>
        <v>39712022060607352991045</v>
      </c>
      <c r="C3621" s="4" t="s">
        <v>28</v>
      </c>
      <c r="D3621" s="4" t="str">
        <f>"符菁菁"</f>
        <v>符菁菁</v>
      </c>
      <c r="E3621" s="4" t="str">
        <f t="shared" si="142"/>
        <v>女</v>
      </c>
    </row>
    <row r="3622" spans="1:5" ht="30" customHeight="1">
      <c r="A3622" s="4">
        <v>3620</v>
      </c>
      <c r="B3622" s="4" t="str">
        <f>"39712022060607520191053"</f>
        <v>39712022060607520191053</v>
      </c>
      <c r="C3622" s="4" t="s">
        <v>28</v>
      </c>
      <c r="D3622" s="4" t="str">
        <f>"林钰"</f>
        <v>林钰</v>
      </c>
      <c r="E3622" s="4" t="str">
        <f t="shared" si="142"/>
        <v>女</v>
      </c>
    </row>
    <row r="3623" spans="1:5" ht="30" customHeight="1">
      <c r="A3623" s="4">
        <v>3621</v>
      </c>
      <c r="B3623" s="4" t="str">
        <f>"39712022060608045891062"</f>
        <v>39712022060608045891062</v>
      </c>
      <c r="C3623" s="4" t="s">
        <v>28</v>
      </c>
      <c r="D3623" s="4" t="str">
        <f>"符荣翎"</f>
        <v>符荣翎</v>
      </c>
      <c r="E3623" s="4" t="str">
        <f t="shared" si="142"/>
        <v>女</v>
      </c>
    </row>
    <row r="3624" spans="1:5" ht="30" customHeight="1">
      <c r="A3624" s="4">
        <v>3622</v>
      </c>
      <c r="B3624" s="4" t="str">
        <f>"39712022060608180991085"</f>
        <v>39712022060608180991085</v>
      </c>
      <c r="C3624" s="4" t="s">
        <v>28</v>
      </c>
      <c r="D3624" s="4" t="str">
        <f>"黄慧坚"</f>
        <v>黄慧坚</v>
      </c>
      <c r="E3624" s="4" t="str">
        <f t="shared" si="142"/>
        <v>女</v>
      </c>
    </row>
    <row r="3625" spans="1:5" ht="30" customHeight="1">
      <c r="A3625" s="4">
        <v>3623</v>
      </c>
      <c r="B3625" s="4" t="str">
        <f>"39712022060608215591092"</f>
        <v>39712022060608215591092</v>
      </c>
      <c r="C3625" s="4" t="s">
        <v>28</v>
      </c>
      <c r="D3625" s="4" t="str">
        <f>"欧彩虹"</f>
        <v>欧彩虹</v>
      </c>
      <c r="E3625" s="4" t="str">
        <f t="shared" si="142"/>
        <v>女</v>
      </c>
    </row>
    <row r="3626" spans="1:5" ht="30" customHeight="1">
      <c r="A3626" s="4">
        <v>3624</v>
      </c>
      <c r="B3626" s="4" t="str">
        <f>"39712022060608330591105"</f>
        <v>39712022060608330591105</v>
      </c>
      <c r="C3626" s="4" t="s">
        <v>28</v>
      </c>
      <c r="D3626" s="4" t="str">
        <f>"赖炜婷"</f>
        <v>赖炜婷</v>
      </c>
      <c r="E3626" s="4" t="str">
        <f t="shared" si="142"/>
        <v>女</v>
      </c>
    </row>
    <row r="3627" spans="1:5" ht="30" customHeight="1">
      <c r="A3627" s="4">
        <v>3625</v>
      </c>
      <c r="B3627" s="4" t="str">
        <f>"39712022060608462491141"</f>
        <v>39712022060608462491141</v>
      </c>
      <c r="C3627" s="4" t="s">
        <v>28</v>
      </c>
      <c r="D3627" s="4" t="str">
        <f>"李月莹"</f>
        <v>李月莹</v>
      </c>
      <c r="E3627" s="4" t="str">
        <f t="shared" si="142"/>
        <v>女</v>
      </c>
    </row>
    <row r="3628" spans="1:5" ht="30" customHeight="1">
      <c r="A3628" s="4">
        <v>3626</v>
      </c>
      <c r="B3628" s="4" t="str">
        <f>"39712022060608525991156"</f>
        <v>39712022060608525991156</v>
      </c>
      <c r="C3628" s="4" t="s">
        <v>28</v>
      </c>
      <c r="D3628" s="4" t="str">
        <f>"范雅惠"</f>
        <v>范雅惠</v>
      </c>
      <c r="E3628" s="4" t="str">
        <f t="shared" si="142"/>
        <v>女</v>
      </c>
    </row>
    <row r="3629" spans="1:5" ht="30" customHeight="1">
      <c r="A3629" s="4">
        <v>3627</v>
      </c>
      <c r="B3629" s="4" t="str">
        <f>"39712022060609053791503"</f>
        <v>39712022060609053791503</v>
      </c>
      <c r="C3629" s="4" t="s">
        <v>28</v>
      </c>
      <c r="D3629" s="4" t="str">
        <f>"邱琳"</f>
        <v>邱琳</v>
      </c>
      <c r="E3629" s="4" t="str">
        <f t="shared" si="142"/>
        <v>女</v>
      </c>
    </row>
    <row r="3630" spans="1:5" ht="30" customHeight="1">
      <c r="A3630" s="4">
        <v>3628</v>
      </c>
      <c r="B3630" s="4" t="str">
        <f>"39712022060609064591557"</f>
        <v>39712022060609064591557</v>
      </c>
      <c r="C3630" s="4" t="s">
        <v>28</v>
      </c>
      <c r="D3630" s="4" t="str">
        <f>"张鑫"</f>
        <v>张鑫</v>
      </c>
      <c r="E3630" s="4" t="str">
        <f>"男"</f>
        <v>男</v>
      </c>
    </row>
    <row r="3631" spans="1:5" ht="30" customHeight="1">
      <c r="A3631" s="4">
        <v>3629</v>
      </c>
      <c r="B3631" s="4" t="str">
        <f>"39712022060609103591707"</f>
        <v>39712022060609103591707</v>
      </c>
      <c r="C3631" s="4" t="s">
        <v>28</v>
      </c>
      <c r="D3631" s="4" t="str">
        <f>"张颖"</f>
        <v>张颖</v>
      </c>
      <c r="E3631" s="4" t="str">
        <f aca="true" t="shared" si="143" ref="E3631:E3679">"女"</f>
        <v>女</v>
      </c>
    </row>
    <row r="3632" spans="1:5" ht="30" customHeight="1">
      <c r="A3632" s="4">
        <v>3630</v>
      </c>
      <c r="B3632" s="4" t="str">
        <f>"39712022060609225092142"</f>
        <v>39712022060609225092142</v>
      </c>
      <c r="C3632" s="4" t="s">
        <v>28</v>
      </c>
      <c r="D3632" s="4" t="str">
        <f>"庞惠茵"</f>
        <v>庞惠茵</v>
      </c>
      <c r="E3632" s="4" t="str">
        <f t="shared" si="143"/>
        <v>女</v>
      </c>
    </row>
    <row r="3633" spans="1:5" ht="30" customHeight="1">
      <c r="A3633" s="4">
        <v>3631</v>
      </c>
      <c r="B3633" s="4" t="str">
        <f>"39712022060609245892210"</f>
        <v>39712022060609245892210</v>
      </c>
      <c r="C3633" s="4" t="s">
        <v>28</v>
      </c>
      <c r="D3633" s="4" t="str">
        <f>"张雨婷"</f>
        <v>张雨婷</v>
      </c>
      <c r="E3633" s="4" t="str">
        <f t="shared" si="143"/>
        <v>女</v>
      </c>
    </row>
    <row r="3634" spans="1:5" ht="30" customHeight="1">
      <c r="A3634" s="4">
        <v>3632</v>
      </c>
      <c r="B3634" s="4" t="str">
        <f>"39712022060609250392214"</f>
        <v>39712022060609250392214</v>
      </c>
      <c r="C3634" s="4" t="s">
        <v>28</v>
      </c>
      <c r="D3634" s="4" t="str">
        <f>"陈丽莹"</f>
        <v>陈丽莹</v>
      </c>
      <c r="E3634" s="4" t="str">
        <f t="shared" si="143"/>
        <v>女</v>
      </c>
    </row>
    <row r="3635" spans="1:5" ht="30" customHeight="1">
      <c r="A3635" s="4">
        <v>3633</v>
      </c>
      <c r="B3635" s="4" t="str">
        <f>"39712022060609251292221"</f>
        <v>39712022060609251292221</v>
      </c>
      <c r="C3635" s="4" t="s">
        <v>28</v>
      </c>
      <c r="D3635" s="4" t="str">
        <f>"吴淑果"</f>
        <v>吴淑果</v>
      </c>
      <c r="E3635" s="4" t="str">
        <f t="shared" si="143"/>
        <v>女</v>
      </c>
    </row>
    <row r="3636" spans="1:5" ht="30" customHeight="1">
      <c r="A3636" s="4">
        <v>3634</v>
      </c>
      <c r="B3636" s="4" t="str">
        <f>"39712022060609341192478"</f>
        <v>39712022060609341192478</v>
      </c>
      <c r="C3636" s="4" t="s">
        <v>28</v>
      </c>
      <c r="D3636" s="4" t="str">
        <f>"许玲"</f>
        <v>许玲</v>
      </c>
      <c r="E3636" s="4" t="str">
        <f t="shared" si="143"/>
        <v>女</v>
      </c>
    </row>
    <row r="3637" spans="1:5" ht="30" customHeight="1">
      <c r="A3637" s="4">
        <v>3635</v>
      </c>
      <c r="B3637" s="4" t="str">
        <f>"39712022060609404492659"</f>
        <v>39712022060609404492659</v>
      </c>
      <c r="C3637" s="4" t="s">
        <v>28</v>
      </c>
      <c r="D3637" s="4" t="str">
        <f>"黄云清"</f>
        <v>黄云清</v>
      </c>
      <c r="E3637" s="4" t="str">
        <f t="shared" si="143"/>
        <v>女</v>
      </c>
    </row>
    <row r="3638" spans="1:5" ht="30" customHeight="1">
      <c r="A3638" s="4">
        <v>3636</v>
      </c>
      <c r="B3638" s="4" t="str">
        <f>"39712022060609415592683"</f>
        <v>39712022060609415592683</v>
      </c>
      <c r="C3638" s="4" t="s">
        <v>28</v>
      </c>
      <c r="D3638" s="4" t="str">
        <f>"陈欣"</f>
        <v>陈欣</v>
      </c>
      <c r="E3638" s="4" t="str">
        <f t="shared" si="143"/>
        <v>女</v>
      </c>
    </row>
    <row r="3639" spans="1:5" ht="30" customHeight="1">
      <c r="A3639" s="4">
        <v>3637</v>
      </c>
      <c r="B3639" s="4" t="str">
        <f>"39712022060609453392781"</f>
        <v>39712022060609453392781</v>
      </c>
      <c r="C3639" s="4" t="s">
        <v>28</v>
      </c>
      <c r="D3639" s="4" t="str">
        <f>"莫婉茜"</f>
        <v>莫婉茜</v>
      </c>
      <c r="E3639" s="4" t="str">
        <f t="shared" si="143"/>
        <v>女</v>
      </c>
    </row>
    <row r="3640" spans="1:5" ht="30" customHeight="1">
      <c r="A3640" s="4">
        <v>3638</v>
      </c>
      <c r="B3640" s="4" t="str">
        <f>"39712022060609460092792"</f>
        <v>39712022060609460092792</v>
      </c>
      <c r="C3640" s="4" t="s">
        <v>28</v>
      </c>
      <c r="D3640" s="4" t="str">
        <f>"曹巧佩"</f>
        <v>曹巧佩</v>
      </c>
      <c r="E3640" s="4" t="str">
        <f t="shared" si="143"/>
        <v>女</v>
      </c>
    </row>
    <row r="3641" spans="1:5" ht="30" customHeight="1">
      <c r="A3641" s="4">
        <v>3639</v>
      </c>
      <c r="B3641" s="4" t="str">
        <f>"39712022060609484792872"</f>
        <v>39712022060609484792872</v>
      </c>
      <c r="C3641" s="4" t="s">
        <v>28</v>
      </c>
      <c r="D3641" s="4" t="str">
        <f>"汪佳颖"</f>
        <v>汪佳颖</v>
      </c>
      <c r="E3641" s="4" t="str">
        <f t="shared" si="143"/>
        <v>女</v>
      </c>
    </row>
    <row r="3642" spans="1:5" ht="30" customHeight="1">
      <c r="A3642" s="4">
        <v>3640</v>
      </c>
      <c r="B3642" s="4" t="str">
        <f>"39712022060609533392984"</f>
        <v>39712022060609533392984</v>
      </c>
      <c r="C3642" s="4" t="s">
        <v>28</v>
      </c>
      <c r="D3642" s="4" t="str">
        <f>"李佳佳"</f>
        <v>李佳佳</v>
      </c>
      <c r="E3642" s="4" t="str">
        <f t="shared" si="143"/>
        <v>女</v>
      </c>
    </row>
    <row r="3643" spans="1:5" ht="30" customHeight="1">
      <c r="A3643" s="4">
        <v>3641</v>
      </c>
      <c r="B3643" s="4" t="str">
        <f>"39712022060609571093088"</f>
        <v>39712022060609571093088</v>
      </c>
      <c r="C3643" s="4" t="s">
        <v>28</v>
      </c>
      <c r="D3643" s="4" t="str">
        <f>"王妹锋"</f>
        <v>王妹锋</v>
      </c>
      <c r="E3643" s="4" t="str">
        <f t="shared" si="143"/>
        <v>女</v>
      </c>
    </row>
    <row r="3644" spans="1:5" ht="30" customHeight="1">
      <c r="A3644" s="4">
        <v>3642</v>
      </c>
      <c r="B3644" s="4" t="str">
        <f>"39712022060609573793100"</f>
        <v>39712022060609573793100</v>
      </c>
      <c r="C3644" s="4" t="s">
        <v>28</v>
      </c>
      <c r="D3644" s="4" t="str">
        <f>"林雯霞"</f>
        <v>林雯霞</v>
      </c>
      <c r="E3644" s="4" t="str">
        <f t="shared" si="143"/>
        <v>女</v>
      </c>
    </row>
    <row r="3645" spans="1:5" ht="30" customHeight="1">
      <c r="A3645" s="4">
        <v>3643</v>
      </c>
      <c r="B3645" s="4" t="str">
        <f>"39712022060609585593136"</f>
        <v>39712022060609585593136</v>
      </c>
      <c r="C3645" s="4" t="s">
        <v>28</v>
      </c>
      <c r="D3645" s="4" t="str">
        <f>"吴倩"</f>
        <v>吴倩</v>
      </c>
      <c r="E3645" s="4" t="str">
        <f t="shared" si="143"/>
        <v>女</v>
      </c>
    </row>
    <row r="3646" spans="1:5" ht="30" customHeight="1">
      <c r="A3646" s="4">
        <v>3644</v>
      </c>
      <c r="B3646" s="4" t="str">
        <f>"39712022060610013593205"</f>
        <v>39712022060610013593205</v>
      </c>
      <c r="C3646" s="4" t="s">
        <v>28</v>
      </c>
      <c r="D3646" s="4" t="str">
        <f>"陈添园"</f>
        <v>陈添园</v>
      </c>
      <c r="E3646" s="4" t="str">
        <f t="shared" si="143"/>
        <v>女</v>
      </c>
    </row>
    <row r="3647" spans="1:5" ht="30" customHeight="1">
      <c r="A3647" s="4">
        <v>3645</v>
      </c>
      <c r="B3647" s="4" t="str">
        <f>"39712022060610015693218"</f>
        <v>39712022060610015693218</v>
      </c>
      <c r="C3647" s="4" t="s">
        <v>28</v>
      </c>
      <c r="D3647" s="4" t="str">
        <f>"叶春伶"</f>
        <v>叶春伶</v>
      </c>
      <c r="E3647" s="4" t="str">
        <f t="shared" si="143"/>
        <v>女</v>
      </c>
    </row>
    <row r="3648" spans="1:5" ht="30" customHeight="1">
      <c r="A3648" s="4">
        <v>3646</v>
      </c>
      <c r="B3648" s="4" t="str">
        <f>"39712022060610085293377"</f>
        <v>39712022060610085293377</v>
      </c>
      <c r="C3648" s="4" t="s">
        <v>28</v>
      </c>
      <c r="D3648" s="4" t="str">
        <f>"朱楠楠"</f>
        <v>朱楠楠</v>
      </c>
      <c r="E3648" s="4" t="str">
        <f t="shared" si="143"/>
        <v>女</v>
      </c>
    </row>
    <row r="3649" spans="1:5" ht="30" customHeight="1">
      <c r="A3649" s="4">
        <v>3647</v>
      </c>
      <c r="B3649" s="4" t="str">
        <f>"39712022060610092693393"</f>
        <v>39712022060610092693393</v>
      </c>
      <c r="C3649" s="4" t="s">
        <v>28</v>
      </c>
      <c r="D3649" s="4" t="str">
        <f>"吴家月"</f>
        <v>吴家月</v>
      </c>
      <c r="E3649" s="4" t="str">
        <f t="shared" si="143"/>
        <v>女</v>
      </c>
    </row>
    <row r="3650" spans="1:5" ht="30" customHeight="1">
      <c r="A3650" s="4">
        <v>3648</v>
      </c>
      <c r="B3650" s="4" t="str">
        <f>"39712022060610111593429"</f>
        <v>39712022060610111593429</v>
      </c>
      <c r="C3650" s="4" t="s">
        <v>28</v>
      </c>
      <c r="D3650" s="4" t="str">
        <f>"李彩静"</f>
        <v>李彩静</v>
      </c>
      <c r="E3650" s="4" t="str">
        <f t="shared" si="143"/>
        <v>女</v>
      </c>
    </row>
    <row r="3651" spans="1:5" ht="30" customHeight="1">
      <c r="A3651" s="4">
        <v>3649</v>
      </c>
      <c r="B3651" s="4" t="str">
        <f>"39712022060610113493435"</f>
        <v>39712022060610113493435</v>
      </c>
      <c r="C3651" s="4" t="s">
        <v>28</v>
      </c>
      <c r="D3651" s="4" t="str">
        <f>"关长娟"</f>
        <v>关长娟</v>
      </c>
      <c r="E3651" s="4" t="str">
        <f t="shared" si="143"/>
        <v>女</v>
      </c>
    </row>
    <row r="3652" spans="1:5" ht="30" customHeight="1">
      <c r="A3652" s="4">
        <v>3650</v>
      </c>
      <c r="B3652" s="4" t="str">
        <f>"39712022060610131993474"</f>
        <v>39712022060610131993474</v>
      </c>
      <c r="C3652" s="4" t="s">
        <v>28</v>
      </c>
      <c r="D3652" s="4" t="str">
        <f>"李思佳"</f>
        <v>李思佳</v>
      </c>
      <c r="E3652" s="4" t="str">
        <f t="shared" si="143"/>
        <v>女</v>
      </c>
    </row>
    <row r="3653" spans="1:5" ht="30" customHeight="1">
      <c r="A3653" s="4">
        <v>3651</v>
      </c>
      <c r="B3653" s="4" t="str">
        <f>"39712022060610155293539"</f>
        <v>39712022060610155293539</v>
      </c>
      <c r="C3653" s="4" t="s">
        <v>28</v>
      </c>
      <c r="D3653" s="4" t="str">
        <f>"王应妹"</f>
        <v>王应妹</v>
      </c>
      <c r="E3653" s="4" t="str">
        <f t="shared" si="143"/>
        <v>女</v>
      </c>
    </row>
    <row r="3654" spans="1:5" ht="30" customHeight="1">
      <c r="A3654" s="4">
        <v>3652</v>
      </c>
      <c r="B3654" s="4" t="str">
        <f>"39712022060610165993571"</f>
        <v>39712022060610165993571</v>
      </c>
      <c r="C3654" s="4" t="s">
        <v>28</v>
      </c>
      <c r="D3654" s="4" t="str">
        <f>"陈少密"</f>
        <v>陈少密</v>
      </c>
      <c r="E3654" s="4" t="str">
        <f t="shared" si="143"/>
        <v>女</v>
      </c>
    </row>
    <row r="3655" spans="1:5" ht="30" customHeight="1">
      <c r="A3655" s="4">
        <v>3653</v>
      </c>
      <c r="B3655" s="4" t="str">
        <f>"39712022060610194393643"</f>
        <v>39712022060610194393643</v>
      </c>
      <c r="C3655" s="4" t="s">
        <v>28</v>
      </c>
      <c r="D3655" s="4" t="str">
        <f>"周君玉"</f>
        <v>周君玉</v>
      </c>
      <c r="E3655" s="4" t="str">
        <f t="shared" si="143"/>
        <v>女</v>
      </c>
    </row>
    <row r="3656" spans="1:5" ht="30" customHeight="1">
      <c r="A3656" s="4">
        <v>3654</v>
      </c>
      <c r="B3656" s="4" t="str">
        <f>"39712022060610225393736"</f>
        <v>39712022060610225393736</v>
      </c>
      <c r="C3656" s="4" t="s">
        <v>28</v>
      </c>
      <c r="D3656" s="4" t="str">
        <f>"吉姗姗"</f>
        <v>吉姗姗</v>
      </c>
      <c r="E3656" s="4" t="str">
        <f t="shared" si="143"/>
        <v>女</v>
      </c>
    </row>
    <row r="3657" spans="1:5" ht="30" customHeight="1">
      <c r="A3657" s="4">
        <v>3655</v>
      </c>
      <c r="B3657" s="4" t="str">
        <f>"39712022060610254693802"</f>
        <v>39712022060610254693802</v>
      </c>
      <c r="C3657" s="4" t="s">
        <v>28</v>
      </c>
      <c r="D3657" s="4" t="str">
        <f>"陈冰冰"</f>
        <v>陈冰冰</v>
      </c>
      <c r="E3657" s="4" t="str">
        <f t="shared" si="143"/>
        <v>女</v>
      </c>
    </row>
    <row r="3658" spans="1:5" ht="30" customHeight="1">
      <c r="A3658" s="4">
        <v>3656</v>
      </c>
      <c r="B3658" s="4" t="str">
        <f>"39712022060610260793812"</f>
        <v>39712022060610260793812</v>
      </c>
      <c r="C3658" s="4" t="s">
        <v>28</v>
      </c>
      <c r="D3658" s="4" t="str">
        <f>"黄白桦"</f>
        <v>黄白桦</v>
      </c>
      <c r="E3658" s="4" t="str">
        <f t="shared" si="143"/>
        <v>女</v>
      </c>
    </row>
    <row r="3659" spans="1:5" ht="30" customHeight="1">
      <c r="A3659" s="4">
        <v>3657</v>
      </c>
      <c r="B3659" s="4" t="str">
        <f>"39712022060610272693845"</f>
        <v>39712022060610272693845</v>
      </c>
      <c r="C3659" s="4" t="s">
        <v>28</v>
      </c>
      <c r="D3659" s="4" t="str">
        <f>"彭佳丽"</f>
        <v>彭佳丽</v>
      </c>
      <c r="E3659" s="4" t="str">
        <f t="shared" si="143"/>
        <v>女</v>
      </c>
    </row>
    <row r="3660" spans="1:5" ht="30" customHeight="1">
      <c r="A3660" s="4">
        <v>3658</v>
      </c>
      <c r="B3660" s="4" t="str">
        <f>"39712022060610272793846"</f>
        <v>39712022060610272793846</v>
      </c>
      <c r="C3660" s="4" t="s">
        <v>28</v>
      </c>
      <c r="D3660" s="4" t="str">
        <f>"吴慧敏"</f>
        <v>吴慧敏</v>
      </c>
      <c r="E3660" s="4" t="str">
        <f t="shared" si="143"/>
        <v>女</v>
      </c>
    </row>
    <row r="3661" spans="1:5" ht="30" customHeight="1">
      <c r="A3661" s="4">
        <v>3659</v>
      </c>
      <c r="B3661" s="4" t="str">
        <f>"39712022060610294593919"</f>
        <v>39712022060610294593919</v>
      </c>
      <c r="C3661" s="4" t="s">
        <v>28</v>
      </c>
      <c r="D3661" s="4" t="str">
        <f>"谢静敏"</f>
        <v>谢静敏</v>
      </c>
      <c r="E3661" s="4" t="str">
        <f t="shared" si="143"/>
        <v>女</v>
      </c>
    </row>
    <row r="3662" spans="1:5" ht="30" customHeight="1">
      <c r="A3662" s="4">
        <v>3660</v>
      </c>
      <c r="B3662" s="4" t="str">
        <f>"39712022060610304093943"</f>
        <v>39712022060610304093943</v>
      </c>
      <c r="C3662" s="4" t="s">
        <v>28</v>
      </c>
      <c r="D3662" s="4" t="str">
        <f>"吴清冰"</f>
        <v>吴清冰</v>
      </c>
      <c r="E3662" s="4" t="str">
        <f t="shared" si="143"/>
        <v>女</v>
      </c>
    </row>
    <row r="3663" spans="1:5" ht="30" customHeight="1">
      <c r="A3663" s="4">
        <v>3661</v>
      </c>
      <c r="B3663" s="4" t="str">
        <f>"39712022060610344694043"</f>
        <v>39712022060610344694043</v>
      </c>
      <c r="C3663" s="4" t="s">
        <v>28</v>
      </c>
      <c r="D3663" s="4" t="str">
        <f>"杨菲"</f>
        <v>杨菲</v>
      </c>
      <c r="E3663" s="4" t="str">
        <f t="shared" si="143"/>
        <v>女</v>
      </c>
    </row>
    <row r="3664" spans="1:5" ht="30" customHeight="1">
      <c r="A3664" s="4">
        <v>3662</v>
      </c>
      <c r="B3664" s="4" t="str">
        <f>"39712022060610362994091"</f>
        <v>39712022060610362994091</v>
      </c>
      <c r="C3664" s="4" t="s">
        <v>28</v>
      </c>
      <c r="D3664" s="4" t="str">
        <f>"麦晓星"</f>
        <v>麦晓星</v>
      </c>
      <c r="E3664" s="4" t="str">
        <f t="shared" si="143"/>
        <v>女</v>
      </c>
    </row>
    <row r="3665" spans="1:5" ht="30" customHeight="1">
      <c r="A3665" s="4">
        <v>3663</v>
      </c>
      <c r="B3665" s="4" t="str">
        <f>"39712022060610394694164"</f>
        <v>39712022060610394694164</v>
      </c>
      <c r="C3665" s="4" t="s">
        <v>28</v>
      </c>
      <c r="D3665" s="4" t="str">
        <f>"林珊珊"</f>
        <v>林珊珊</v>
      </c>
      <c r="E3665" s="4" t="str">
        <f t="shared" si="143"/>
        <v>女</v>
      </c>
    </row>
    <row r="3666" spans="1:5" ht="30" customHeight="1">
      <c r="A3666" s="4">
        <v>3664</v>
      </c>
      <c r="B3666" s="4" t="str">
        <f>"39712022060610405294186"</f>
        <v>39712022060610405294186</v>
      </c>
      <c r="C3666" s="4" t="s">
        <v>28</v>
      </c>
      <c r="D3666" s="4" t="str">
        <f>"郑春敏"</f>
        <v>郑春敏</v>
      </c>
      <c r="E3666" s="4" t="str">
        <f t="shared" si="143"/>
        <v>女</v>
      </c>
    </row>
    <row r="3667" spans="1:5" ht="30" customHeight="1">
      <c r="A3667" s="4">
        <v>3665</v>
      </c>
      <c r="B3667" s="4" t="str">
        <f>"39712022060610405994188"</f>
        <v>39712022060610405994188</v>
      </c>
      <c r="C3667" s="4" t="s">
        <v>28</v>
      </c>
      <c r="D3667" s="4" t="str">
        <f>"陈少平"</f>
        <v>陈少平</v>
      </c>
      <c r="E3667" s="4" t="str">
        <f t="shared" si="143"/>
        <v>女</v>
      </c>
    </row>
    <row r="3668" spans="1:5" ht="30" customHeight="1">
      <c r="A3668" s="4">
        <v>3666</v>
      </c>
      <c r="B3668" s="4" t="str">
        <f>"39712022060610412794205"</f>
        <v>39712022060610412794205</v>
      </c>
      <c r="C3668" s="4" t="s">
        <v>28</v>
      </c>
      <c r="D3668" s="4" t="str">
        <f>"郑瑶"</f>
        <v>郑瑶</v>
      </c>
      <c r="E3668" s="4" t="str">
        <f t="shared" si="143"/>
        <v>女</v>
      </c>
    </row>
    <row r="3669" spans="1:5" ht="30" customHeight="1">
      <c r="A3669" s="4">
        <v>3667</v>
      </c>
      <c r="B3669" s="4" t="str">
        <f>"39712022060610445794271"</f>
        <v>39712022060610445794271</v>
      </c>
      <c r="C3669" s="4" t="s">
        <v>28</v>
      </c>
      <c r="D3669" s="4" t="str">
        <f>"吴宇婷"</f>
        <v>吴宇婷</v>
      </c>
      <c r="E3669" s="4" t="str">
        <f t="shared" si="143"/>
        <v>女</v>
      </c>
    </row>
    <row r="3670" spans="1:5" ht="30" customHeight="1">
      <c r="A3670" s="4">
        <v>3668</v>
      </c>
      <c r="B3670" s="4" t="str">
        <f>"39712022060610454994289"</f>
        <v>39712022060610454994289</v>
      </c>
      <c r="C3670" s="4" t="s">
        <v>28</v>
      </c>
      <c r="D3670" s="4" t="str">
        <f>"韩佳霖"</f>
        <v>韩佳霖</v>
      </c>
      <c r="E3670" s="4" t="str">
        <f t="shared" si="143"/>
        <v>女</v>
      </c>
    </row>
    <row r="3671" spans="1:5" ht="30" customHeight="1">
      <c r="A3671" s="4">
        <v>3669</v>
      </c>
      <c r="B3671" s="4" t="str">
        <f>"39712022060610455994295"</f>
        <v>39712022060610455994295</v>
      </c>
      <c r="C3671" s="4" t="s">
        <v>28</v>
      </c>
      <c r="D3671" s="4" t="str">
        <f>"莫玲玲"</f>
        <v>莫玲玲</v>
      </c>
      <c r="E3671" s="4" t="str">
        <f t="shared" si="143"/>
        <v>女</v>
      </c>
    </row>
    <row r="3672" spans="1:5" ht="30" customHeight="1">
      <c r="A3672" s="4">
        <v>3670</v>
      </c>
      <c r="B3672" s="4" t="str">
        <f>"39712022060610471694324"</f>
        <v>39712022060610471694324</v>
      </c>
      <c r="C3672" s="4" t="s">
        <v>28</v>
      </c>
      <c r="D3672" s="4" t="str">
        <f>"吴希"</f>
        <v>吴希</v>
      </c>
      <c r="E3672" s="4" t="str">
        <f t="shared" si="143"/>
        <v>女</v>
      </c>
    </row>
    <row r="3673" spans="1:5" ht="30" customHeight="1">
      <c r="A3673" s="4">
        <v>3671</v>
      </c>
      <c r="B3673" s="4" t="str">
        <f>"39712022060610480194339"</f>
        <v>39712022060610480194339</v>
      </c>
      <c r="C3673" s="4" t="s">
        <v>28</v>
      </c>
      <c r="D3673" s="4" t="str">
        <f>"侯雪江"</f>
        <v>侯雪江</v>
      </c>
      <c r="E3673" s="4" t="str">
        <f t="shared" si="143"/>
        <v>女</v>
      </c>
    </row>
    <row r="3674" spans="1:5" ht="30" customHeight="1">
      <c r="A3674" s="4">
        <v>3672</v>
      </c>
      <c r="B3674" s="4" t="str">
        <f>"39712022060610511994412"</f>
        <v>39712022060610511994412</v>
      </c>
      <c r="C3674" s="4" t="s">
        <v>28</v>
      </c>
      <c r="D3674" s="4" t="str">
        <f>"蔡炳"</f>
        <v>蔡炳</v>
      </c>
      <c r="E3674" s="4" t="str">
        <f t="shared" si="143"/>
        <v>女</v>
      </c>
    </row>
    <row r="3675" spans="1:5" ht="30" customHeight="1">
      <c r="A3675" s="4">
        <v>3673</v>
      </c>
      <c r="B3675" s="4" t="str">
        <f>"39712022060610531494452"</f>
        <v>39712022060610531494452</v>
      </c>
      <c r="C3675" s="4" t="s">
        <v>28</v>
      </c>
      <c r="D3675" s="4" t="str">
        <f>"钟云秋"</f>
        <v>钟云秋</v>
      </c>
      <c r="E3675" s="4" t="str">
        <f t="shared" si="143"/>
        <v>女</v>
      </c>
    </row>
    <row r="3676" spans="1:5" ht="30" customHeight="1">
      <c r="A3676" s="4">
        <v>3674</v>
      </c>
      <c r="B3676" s="4" t="str">
        <f>"39712022060610544894488"</f>
        <v>39712022060610544894488</v>
      </c>
      <c r="C3676" s="4" t="s">
        <v>28</v>
      </c>
      <c r="D3676" s="4" t="str">
        <f>"吴慧芳"</f>
        <v>吴慧芳</v>
      </c>
      <c r="E3676" s="4" t="str">
        <f t="shared" si="143"/>
        <v>女</v>
      </c>
    </row>
    <row r="3677" spans="1:5" ht="30" customHeight="1">
      <c r="A3677" s="4">
        <v>3675</v>
      </c>
      <c r="B3677" s="4" t="str">
        <f>"39712022060610594794604"</f>
        <v>39712022060610594794604</v>
      </c>
      <c r="C3677" s="4" t="s">
        <v>28</v>
      </c>
      <c r="D3677" s="4" t="str">
        <f>"黄东菊"</f>
        <v>黄东菊</v>
      </c>
      <c r="E3677" s="4" t="str">
        <f t="shared" si="143"/>
        <v>女</v>
      </c>
    </row>
    <row r="3678" spans="1:5" ht="30" customHeight="1">
      <c r="A3678" s="4">
        <v>3676</v>
      </c>
      <c r="B3678" s="4" t="str">
        <f>"39712022060611025894668"</f>
        <v>39712022060611025894668</v>
      </c>
      <c r="C3678" s="4" t="s">
        <v>28</v>
      </c>
      <c r="D3678" s="4" t="str">
        <f>"陈妙鸾"</f>
        <v>陈妙鸾</v>
      </c>
      <c r="E3678" s="4" t="str">
        <f t="shared" si="143"/>
        <v>女</v>
      </c>
    </row>
    <row r="3679" spans="1:5" ht="30" customHeight="1">
      <c r="A3679" s="4">
        <v>3677</v>
      </c>
      <c r="B3679" s="4" t="str">
        <f>"39712022060611041894696"</f>
        <v>39712022060611041894696</v>
      </c>
      <c r="C3679" s="4" t="s">
        <v>28</v>
      </c>
      <c r="D3679" s="4" t="str">
        <f>"余明真"</f>
        <v>余明真</v>
      </c>
      <c r="E3679" s="4" t="str">
        <f t="shared" si="143"/>
        <v>女</v>
      </c>
    </row>
    <row r="3680" spans="1:5" ht="30" customHeight="1">
      <c r="A3680" s="4">
        <v>3678</v>
      </c>
      <c r="B3680" s="4" t="str">
        <f>"39712022060611073494752"</f>
        <v>39712022060611073494752</v>
      </c>
      <c r="C3680" s="4" t="s">
        <v>28</v>
      </c>
      <c r="D3680" s="4" t="str">
        <f>"蔡於良"</f>
        <v>蔡於良</v>
      </c>
      <c r="E3680" s="4" t="str">
        <f>"男"</f>
        <v>男</v>
      </c>
    </row>
    <row r="3681" spans="1:5" ht="30" customHeight="1">
      <c r="A3681" s="4">
        <v>3679</v>
      </c>
      <c r="B3681" s="4" t="str">
        <f>"39712022060611094394798"</f>
        <v>39712022060611094394798</v>
      </c>
      <c r="C3681" s="4" t="s">
        <v>28</v>
      </c>
      <c r="D3681" s="4" t="str">
        <f>"曾应丹"</f>
        <v>曾应丹</v>
      </c>
      <c r="E3681" s="4" t="str">
        <f aca="true" t="shared" si="144" ref="E3681:E3692">"女"</f>
        <v>女</v>
      </c>
    </row>
    <row r="3682" spans="1:5" ht="30" customHeight="1">
      <c r="A3682" s="4">
        <v>3680</v>
      </c>
      <c r="B3682" s="4" t="str">
        <f>"39712022060611110794827"</f>
        <v>39712022060611110794827</v>
      </c>
      <c r="C3682" s="4" t="s">
        <v>28</v>
      </c>
      <c r="D3682" s="4" t="str">
        <f>"陈益艳"</f>
        <v>陈益艳</v>
      </c>
      <c r="E3682" s="4" t="str">
        <f t="shared" si="144"/>
        <v>女</v>
      </c>
    </row>
    <row r="3683" spans="1:5" ht="30" customHeight="1">
      <c r="A3683" s="4">
        <v>3681</v>
      </c>
      <c r="B3683" s="4" t="str">
        <f>"39712022060611193994983"</f>
        <v>39712022060611193994983</v>
      </c>
      <c r="C3683" s="4" t="s">
        <v>28</v>
      </c>
      <c r="D3683" s="4" t="str">
        <f>"吴书敏"</f>
        <v>吴书敏</v>
      </c>
      <c r="E3683" s="4" t="str">
        <f t="shared" si="144"/>
        <v>女</v>
      </c>
    </row>
    <row r="3684" spans="1:5" ht="30" customHeight="1">
      <c r="A3684" s="4">
        <v>3682</v>
      </c>
      <c r="B3684" s="4" t="str">
        <f>"39712022060611205795011"</f>
        <v>39712022060611205795011</v>
      </c>
      <c r="C3684" s="4" t="s">
        <v>28</v>
      </c>
      <c r="D3684" s="4" t="str">
        <f>"曾德桂"</f>
        <v>曾德桂</v>
      </c>
      <c r="E3684" s="4" t="str">
        <f t="shared" si="144"/>
        <v>女</v>
      </c>
    </row>
    <row r="3685" spans="1:5" ht="30" customHeight="1">
      <c r="A3685" s="4">
        <v>3683</v>
      </c>
      <c r="B3685" s="4" t="str">
        <f>"39712022060611244795091"</f>
        <v>39712022060611244795091</v>
      </c>
      <c r="C3685" s="4" t="s">
        <v>28</v>
      </c>
      <c r="D3685" s="4" t="str">
        <f>"易惠蔓"</f>
        <v>易惠蔓</v>
      </c>
      <c r="E3685" s="4" t="str">
        <f t="shared" si="144"/>
        <v>女</v>
      </c>
    </row>
    <row r="3686" spans="1:5" ht="30" customHeight="1">
      <c r="A3686" s="4">
        <v>3684</v>
      </c>
      <c r="B3686" s="4" t="str">
        <f>"39712022060611334095224"</f>
        <v>39712022060611334095224</v>
      </c>
      <c r="C3686" s="4" t="s">
        <v>28</v>
      </c>
      <c r="D3686" s="4" t="str">
        <f>"徐梦佳"</f>
        <v>徐梦佳</v>
      </c>
      <c r="E3686" s="4" t="str">
        <f t="shared" si="144"/>
        <v>女</v>
      </c>
    </row>
    <row r="3687" spans="1:5" ht="30" customHeight="1">
      <c r="A3687" s="4">
        <v>3685</v>
      </c>
      <c r="B3687" s="4" t="str">
        <f>"39712022060611345295247"</f>
        <v>39712022060611345295247</v>
      </c>
      <c r="C3687" s="4" t="s">
        <v>28</v>
      </c>
      <c r="D3687" s="4" t="str">
        <f>"周慧颖"</f>
        <v>周慧颖</v>
      </c>
      <c r="E3687" s="4" t="str">
        <f t="shared" si="144"/>
        <v>女</v>
      </c>
    </row>
    <row r="3688" spans="1:5" ht="30" customHeight="1">
      <c r="A3688" s="4">
        <v>3686</v>
      </c>
      <c r="B3688" s="4" t="str">
        <f>"39712022060611374595302"</f>
        <v>39712022060611374595302</v>
      </c>
      <c r="C3688" s="4" t="s">
        <v>28</v>
      </c>
      <c r="D3688" s="4" t="str">
        <f>"邱龄慰"</f>
        <v>邱龄慰</v>
      </c>
      <c r="E3688" s="4" t="str">
        <f t="shared" si="144"/>
        <v>女</v>
      </c>
    </row>
    <row r="3689" spans="1:5" ht="30" customHeight="1">
      <c r="A3689" s="4">
        <v>3687</v>
      </c>
      <c r="B3689" s="4" t="str">
        <f>"39712022060611391095325"</f>
        <v>39712022060611391095325</v>
      </c>
      <c r="C3689" s="4" t="s">
        <v>28</v>
      </c>
      <c r="D3689" s="4" t="str">
        <f>"张涵雅"</f>
        <v>张涵雅</v>
      </c>
      <c r="E3689" s="4" t="str">
        <f t="shared" si="144"/>
        <v>女</v>
      </c>
    </row>
    <row r="3690" spans="1:5" ht="30" customHeight="1">
      <c r="A3690" s="4">
        <v>3688</v>
      </c>
      <c r="B3690" s="4" t="str">
        <f>"39712022060611414095361"</f>
        <v>39712022060611414095361</v>
      </c>
      <c r="C3690" s="4" t="s">
        <v>28</v>
      </c>
      <c r="D3690" s="4" t="str">
        <f>"李昭婷"</f>
        <v>李昭婷</v>
      </c>
      <c r="E3690" s="4" t="str">
        <f t="shared" si="144"/>
        <v>女</v>
      </c>
    </row>
    <row r="3691" spans="1:5" ht="30" customHeight="1">
      <c r="A3691" s="4">
        <v>3689</v>
      </c>
      <c r="B3691" s="4" t="str">
        <f>"39712022060611414195362"</f>
        <v>39712022060611414195362</v>
      </c>
      <c r="C3691" s="4" t="s">
        <v>28</v>
      </c>
      <c r="D3691" s="4" t="str">
        <f>"曾雪芳"</f>
        <v>曾雪芳</v>
      </c>
      <c r="E3691" s="4" t="str">
        <f t="shared" si="144"/>
        <v>女</v>
      </c>
    </row>
    <row r="3692" spans="1:5" ht="30" customHeight="1">
      <c r="A3692" s="4">
        <v>3690</v>
      </c>
      <c r="B3692" s="4" t="str">
        <f>"39712022060611423295377"</f>
        <v>39712022060611423295377</v>
      </c>
      <c r="C3692" s="4" t="s">
        <v>28</v>
      </c>
      <c r="D3692" s="4" t="str">
        <f>"元海玲"</f>
        <v>元海玲</v>
      </c>
      <c r="E3692" s="4" t="str">
        <f t="shared" si="144"/>
        <v>女</v>
      </c>
    </row>
    <row r="3693" spans="1:5" ht="30" customHeight="1">
      <c r="A3693" s="4">
        <v>3691</v>
      </c>
      <c r="B3693" s="4" t="str">
        <f>"39712022060611441495406"</f>
        <v>39712022060611441495406</v>
      </c>
      <c r="C3693" s="4" t="s">
        <v>28</v>
      </c>
      <c r="D3693" s="4" t="str">
        <f>"吴炳坤"</f>
        <v>吴炳坤</v>
      </c>
      <c r="E3693" s="4" t="str">
        <f>"男"</f>
        <v>男</v>
      </c>
    </row>
    <row r="3694" spans="1:5" ht="30" customHeight="1">
      <c r="A3694" s="4">
        <v>3692</v>
      </c>
      <c r="B3694" s="4" t="str">
        <f>"39712022060611442695411"</f>
        <v>39712022060611442695411</v>
      </c>
      <c r="C3694" s="4" t="s">
        <v>28</v>
      </c>
      <c r="D3694" s="4" t="str">
        <f>"容茜芸"</f>
        <v>容茜芸</v>
      </c>
      <c r="E3694" s="4" t="str">
        <f aca="true" t="shared" si="145" ref="E3694:E3716">"女"</f>
        <v>女</v>
      </c>
    </row>
    <row r="3695" spans="1:5" ht="30" customHeight="1">
      <c r="A3695" s="4">
        <v>3693</v>
      </c>
      <c r="B3695" s="4" t="str">
        <f>"39712022060611464395448"</f>
        <v>39712022060611464395448</v>
      </c>
      <c r="C3695" s="4" t="s">
        <v>28</v>
      </c>
      <c r="D3695" s="4" t="str">
        <f>"赵佳明"</f>
        <v>赵佳明</v>
      </c>
      <c r="E3695" s="4" t="str">
        <f t="shared" si="145"/>
        <v>女</v>
      </c>
    </row>
    <row r="3696" spans="1:5" ht="30" customHeight="1">
      <c r="A3696" s="4">
        <v>3694</v>
      </c>
      <c r="B3696" s="4" t="str">
        <f>"39712022060611494795493"</f>
        <v>39712022060611494795493</v>
      </c>
      <c r="C3696" s="4" t="s">
        <v>28</v>
      </c>
      <c r="D3696" s="4" t="str">
        <f>"郝丽莎"</f>
        <v>郝丽莎</v>
      </c>
      <c r="E3696" s="4" t="str">
        <f t="shared" si="145"/>
        <v>女</v>
      </c>
    </row>
    <row r="3697" spans="1:5" ht="30" customHeight="1">
      <c r="A3697" s="4">
        <v>3695</v>
      </c>
      <c r="B3697" s="4" t="str">
        <f>"39712022060611502995505"</f>
        <v>39712022060611502995505</v>
      </c>
      <c r="C3697" s="4" t="s">
        <v>28</v>
      </c>
      <c r="D3697" s="4" t="str">
        <f>"张方"</f>
        <v>张方</v>
      </c>
      <c r="E3697" s="4" t="str">
        <f t="shared" si="145"/>
        <v>女</v>
      </c>
    </row>
    <row r="3698" spans="1:5" ht="30" customHeight="1">
      <c r="A3698" s="4">
        <v>3696</v>
      </c>
      <c r="B3698" s="4" t="str">
        <f>"39712022060611510995512"</f>
        <v>39712022060611510995512</v>
      </c>
      <c r="C3698" s="4" t="s">
        <v>28</v>
      </c>
      <c r="D3698" s="4" t="str">
        <f>"符秋艳"</f>
        <v>符秋艳</v>
      </c>
      <c r="E3698" s="4" t="str">
        <f t="shared" si="145"/>
        <v>女</v>
      </c>
    </row>
    <row r="3699" spans="1:5" ht="30" customHeight="1">
      <c r="A3699" s="4">
        <v>3697</v>
      </c>
      <c r="B3699" s="4" t="str">
        <f>"39712022060611515695525"</f>
        <v>39712022060611515695525</v>
      </c>
      <c r="C3699" s="4" t="s">
        <v>28</v>
      </c>
      <c r="D3699" s="4" t="str">
        <f>"邢璐璐"</f>
        <v>邢璐璐</v>
      </c>
      <c r="E3699" s="4" t="str">
        <f t="shared" si="145"/>
        <v>女</v>
      </c>
    </row>
    <row r="3700" spans="1:5" ht="30" customHeight="1">
      <c r="A3700" s="4">
        <v>3698</v>
      </c>
      <c r="B3700" s="4" t="str">
        <f>"39712022060611570895601"</f>
        <v>39712022060611570895601</v>
      </c>
      <c r="C3700" s="4" t="s">
        <v>28</v>
      </c>
      <c r="D3700" s="4" t="str">
        <f>"左蓉"</f>
        <v>左蓉</v>
      </c>
      <c r="E3700" s="4" t="str">
        <f t="shared" si="145"/>
        <v>女</v>
      </c>
    </row>
    <row r="3701" spans="1:5" ht="30" customHeight="1">
      <c r="A3701" s="4">
        <v>3699</v>
      </c>
      <c r="B3701" s="4" t="str">
        <f>"39712022060611592195630"</f>
        <v>39712022060611592195630</v>
      </c>
      <c r="C3701" s="4" t="s">
        <v>28</v>
      </c>
      <c r="D3701" s="4" t="str">
        <f>"陈清柳"</f>
        <v>陈清柳</v>
      </c>
      <c r="E3701" s="4" t="str">
        <f t="shared" si="145"/>
        <v>女</v>
      </c>
    </row>
    <row r="3702" spans="1:5" ht="30" customHeight="1">
      <c r="A3702" s="4">
        <v>3700</v>
      </c>
      <c r="B3702" s="4" t="str">
        <f>"39712022060612045195688"</f>
        <v>39712022060612045195688</v>
      </c>
      <c r="C3702" s="4" t="s">
        <v>28</v>
      </c>
      <c r="D3702" s="4" t="str">
        <f>"李若贤"</f>
        <v>李若贤</v>
      </c>
      <c r="E3702" s="4" t="str">
        <f t="shared" si="145"/>
        <v>女</v>
      </c>
    </row>
    <row r="3703" spans="1:5" ht="30" customHeight="1">
      <c r="A3703" s="4">
        <v>3701</v>
      </c>
      <c r="B3703" s="4" t="str">
        <f>"39712022060612093195756"</f>
        <v>39712022060612093195756</v>
      </c>
      <c r="C3703" s="4" t="s">
        <v>28</v>
      </c>
      <c r="D3703" s="4" t="str">
        <f>"简仙蕾"</f>
        <v>简仙蕾</v>
      </c>
      <c r="E3703" s="4" t="str">
        <f t="shared" si="145"/>
        <v>女</v>
      </c>
    </row>
    <row r="3704" spans="1:5" ht="30" customHeight="1">
      <c r="A3704" s="4">
        <v>3702</v>
      </c>
      <c r="B3704" s="4" t="str">
        <f>"39712022060612100495760"</f>
        <v>39712022060612100495760</v>
      </c>
      <c r="C3704" s="4" t="s">
        <v>28</v>
      </c>
      <c r="D3704" s="4" t="str">
        <f>"崔优雅"</f>
        <v>崔优雅</v>
      </c>
      <c r="E3704" s="4" t="str">
        <f t="shared" si="145"/>
        <v>女</v>
      </c>
    </row>
    <row r="3705" spans="1:5" ht="30" customHeight="1">
      <c r="A3705" s="4">
        <v>3703</v>
      </c>
      <c r="B3705" s="4" t="str">
        <f>"39712022060612131895794"</f>
        <v>39712022060612131895794</v>
      </c>
      <c r="C3705" s="4" t="s">
        <v>28</v>
      </c>
      <c r="D3705" s="4" t="str">
        <f>"周书蓉"</f>
        <v>周书蓉</v>
      </c>
      <c r="E3705" s="4" t="str">
        <f t="shared" si="145"/>
        <v>女</v>
      </c>
    </row>
    <row r="3706" spans="1:5" ht="30" customHeight="1">
      <c r="A3706" s="4">
        <v>3704</v>
      </c>
      <c r="B3706" s="4" t="str">
        <f>"39712022060612134295800"</f>
        <v>39712022060612134295800</v>
      </c>
      <c r="C3706" s="4" t="s">
        <v>28</v>
      </c>
      <c r="D3706" s="4" t="str">
        <f>"李娜"</f>
        <v>李娜</v>
      </c>
      <c r="E3706" s="4" t="str">
        <f t="shared" si="145"/>
        <v>女</v>
      </c>
    </row>
    <row r="3707" spans="1:5" ht="30" customHeight="1">
      <c r="A3707" s="4">
        <v>3705</v>
      </c>
      <c r="B3707" s="4" t="str">
        <f>"39712022060612165095834"</f>
        <v>39712022060612165095834</v>
      </c>
      <c r="C3707" s="4" t="s">
        <v>28</v>
      </c>
      <c r="D3707" s="4" t="str">
        <f>"蔡文秀"</f>
        <v>蔡文秀</v>
      </c>
      <c r="E3707" s="4" t="str">
        <f t="shared" si="145"/>
        <v>女</v>
      </c>
    </row>
    <row r="3708" spans="1:5" ht="30" customHeight="1">
      <c r="A3708" s="4">
        <v>3706</v>
      </c>
      <c r="B3708" s="4" t="str">
        <f>"39712022060612184395870"</f>
        <v>39712022060612184395870</v>
      </c>
      <c r="C3708" s="4" t="s">
        <v>28</v>
      </c>
      <c r="D3708" s="4" t="str">
        <f>"邢梦琪"</f>
        <v>邢梦琪</v>
      </c>
      <c r="E3708" s="4" t="str">
        <f t="shared" si="145"/>
        <v>女</v>
      </c>
    </row>
    <row r="3709" spans="1:5" ht="30" customHeight="1">
      <c r="A3709" s="4">
        <v>3707</v>
      </c>
      <c r="B3709" s="4" t="str">
        <f>"39712022060612254795958"</f>
        <v>39712022060612254795958</v>
      </c>
      <c r="C3709" s="4" t="s">
        <v>28</v>
      </c>
      <c r="D3709" s="4" t="str">
        <f>"冯丽芳"</f>
        <v>冯丽芳</v>
      </c>
      <c r="E3709" s="4" t="str">
        <f t="shared" si="145"/>
        <v>女</v>
      </c>
    </row>
    <row r="3710" spans="1:5" ht="30" customHeight="1">
      <c r="A3710" s="4">
        <v>3708</v>
      </c>
      <c r="B3710" s="4" t="str">
        <f>"39712022060612285996003"</f>
        <v>39712022060612285996003</v>
      </c>
      <c r="C3710" s="4" t="s">
        <v>28</v>
      </c>
      <c r="D3710" s="4" t="str">
        <f>"唐敏燕"</f>
        <v>唐敏燕</v>
      </c>
      <c r="E3710" s="4" t="str">
        <f t="shared" si="145"/>
        <v>女</v>
      </c>
    </row>
    <row r="3711" spans="1:5" ht="30" customHeight="1">
      <c r="A3711" s="4">
        <v>3709</v>
      </c>
      <c r="B3711" s="4" t="str">
        <f>"39712022060612353296077"</f>
        <v>39712022060612353296077</v>
      </c>
      <c r="C3711" s="4" t="s">
        <v>28</v>
      </c>
      <c r="D3711" s="4" t="str">
        <f>"陈嘉敏"</f>
        <v>陈嘉敏</v>
      </c>
      <c r="E3711" s="4" t="str">
        <f t="shared" si="145"/>
        <v>女</v>
      </c>
    </row>
    <row r="3712" spans="1:5" ht="30" customHeight="1">
      <c r="A3712" s="4">
        <v>3710</v>
      </c>
      <c r="B3712" s="4" t="str">
        <f>"39712022060612453796193"</f>
        <v>39712022060612453796193</v>
      </c>
      <c r="C3712" s="4" t="s">
        <v>28</v>
      </c>
      <c r="D3712" s="4" t="str">
        <f>"邝青苗"</f>
        <v>邝青苗</v>
      </c>
      <c r="E3712" s="4" t="str">
        <f t="shared" si="145"/>
        <v>女</v>
      </c>
    </row>
    <row r="3713" spans="1:5" ht="30" customHeight="1">
      <c r="A3713" s="4">
        <v>3711</v>
      </c>
      <c r="B3713" s="4" t="str">
        <f>"39712022060612491996230"</f>
        <v>39712022060612491996230</v>
      </c>
      <c r="C3713" s="4" t="s">
        <v>28</v>
      </c>
      <c r="D3713" s="4" t="str">
        <f>"王思琪"</f>
        <v>王思琪</v>
      </c>
      <c r="E3713" s="4" t="str">
        <f t="shared" si="145"/>
        <v>女</v>
      </c>
    </row>
    <row r="3714" spans="1:5" ht="30" customHeight="1">
      <c r="A3714" s="4">
        <v>3712</v>
      </c>
      <c r="B3714" s="4" t="str">
        <f>"39712022060612494796239"</f>
        <v>39712022060612494796239</v>
      </c>
      <c r="C3714" s="4" t="s">
        <v>28</v>
      </c>
      <c r="D3714" s="4" t="str">
        <f>"吕婷婷"</f>
        <v>吕婷婷</v>
      </c>
      <c r="E3714" s="4" t="str">
        <f t="shared" si="145"/>
        <v>女</v>
      </c>
    </row>
    <row r="3715" spans="1:5" ht="30" customHeight="1">
      <c r="A3715" s="4">
        <v>3713</v>
      </c>
      <c r="B3715" s="4" t="str">
        <f>"39712022060612525696267"</f>
        <v>39712022060612525696267</v>
      </c>
      <c r="C3715" s="4" t="s">
        <v>28</v>
      </c>
      <c r="D3715" s="4" t="str">
        <f>"陈怡霏"</f>
        <v>陈怡霏</v>
      </c>
      <c r="E3715" s="4" t="str">
        <f t="shared" si="145"/>
        <v>女</v>
      </c>
    </row>
    <row r="3716" spans="1:5" ht="30" customHeight="1">
      <c r="A3716" s="4">
        <v>3714</v>
      </c>
      <c r="B3716" s="4" t="str">
        <f>"39712022060612562696296"</f>
        <v>39712022060612562696296</v>
      </c>
      <c r="C3716" s="4" t="s">
        <v>28</v>
      </c>
      <c r="D3716" s="4" t="str">
        <f>"陈晓娟"</f>
        <v>陈晓娟</v>
      </c>
      <c r="E3716" s="4" t="str">
        <f t="shared" si="145"/>
        <v>女</v>
      </c>
    </row>
    <row r="3717" spans="1:5" ht="30" customHeight="1">
      <c r="A3717" s="4">
        <v>3715</v>
      </c>
      <c r="B3717" s="4" t="str">
        <f>"39712022060612571996309"</f>
        <v>39712022060612571996309</v>
      </c>
      <c r="C3717" s="4" t="s">
        <v>28</v>
      </c>
      <c r="D3717" s="4" t="str">
        <f>"吴勰勰"</f>
        <v>吴勰勰</v>
      </c>
      <c r="E3717" s="4" t="str">
        <f>"男"</f>
        <v>男</v>
      </c>
    </row>
    <row r="3718" spans="1:5" ht="30" customHeight="1">
      <c r="A3718" s="4">
        <v>3716</v>
      </c>
      <c r="B3718" s="4" t="str">
        <f>"39712022060612581696319"</f>
        <v>39712022060612581696319</v>
      </c>
      <c r="C3718" s="4" t="s">
        <v>28</v>
      </c>
      <c r="D3718" s="4" t="str">
        <f>"钟丽娜"</f>
        <v>钟丽娜</v>
      </c>
      <c r="E3718" s="4" t="str">
        <f>"女"</f>
        <v>女</v>
      </c>
    </row>
    <row r="3719" spans="1:5" ht="30" customHeight="1">
      <c r="A3719" s="4">
        <v>3717</v>
      </c>
      <c r="B3719" s="4" t="str">
        <f>"39712022060613000696338"</f>
        <v>39712022060613000696338</v>
      </c>
      <c r="C3719" s="4" t="s">
        <v>28</v>
      </c>
      <c r="D3719" s="4" t="str">
        <f>"唐前茜"</f>
        <v>唐前茜</v>
      </c>
      <c r="E3719" s="4" t="str">
        <f>"女"</f>
        <v>女</v>
      </c>
    </row>
    <row r="3720" spans="1:5" ht="30" customHeight="1">
      <c r="A3720" s="4">
        <v>3718</v>
      </c>
      <c r="B3720" s="4" t="str">
        <f>"39712022060613033796365"</f>
        <v>39712022060613033796365</v>
      </c>
      <c r="C3720" s="4" t="s">
        <v>28</v>
      </c>
      <c r="D3720" s="4" t="str">
        <f>"王玫"</f>
        <v>王玫</v>
      </c>
      <c r="E3720" s="4" t="str">
        <f>"女"</f>
        <v>女</v>
      </c>
    </row>
    <row r="3721" spans="1:5" ht="30" customHeight="1">
      <c r="A3721" s="4">
        <v>3719</v>
      </c>
      <c r="B3721" s="4" t="str">
        <f>"39712022060613053096386"</f>
        <v>39712022060613053096386</v>
      </c>
      <c r="C3721" s="4" t="s">
        <v>28</v>
      </c>
      <c r="D3721" s="4" t="str">
        <f>"符运松"</f>
        <v>符运松</v>
      </c>
      <c r="E3721" s="4" t="str">
        <f>"男"</f>
        <v>男</v>
      </c>
    </row>
    <row r="3722" spans="1:5" ht="30" customHeight="1">
      <c r="A3722" s="4">
        <v>3720</v>
      </c>
      <c r="B3722" s="4" t="str">
        <f>"39712022060613074296411"</f>
        <v>39712022060613074296411</v>
      </c>
      <c r="C3722" s="4" t="s">
        <v>28</v>
      </c>
      <c r="D3722" s="4" t="str">
        <f>"李映慧"</f>
        <v>李映慧</v>
      </c>
      <c r="E3722" s="4" t="str">
        <f aca="true" t="shared" si="146" ref="E3722:E3773">"女"</f>
        <v>女</v>
      </c>
    </row>
    <row r="3723" spans="1:5" ht="30" customHeight="1">
      <c r="A3723" s="4">
        <v>3721</v>
      </c>
      <c r="B3723" s="4" t="str">
        <f>"39712022060613080096416"</f>
        <v>39712022060613080096416</v>
      </c>
      <c r="C3723" s="4" t="s">
        <v>28</v>
      </c>
      <c r="D3723" s="4" t="str">
        <f>"黄小芳"</f>
        <v>黄小芳</v>
      </c>
      <c r="E3723" s="4" t="str">
        <f t="shared" si="146"/>
        <v>女</v>
      </c>
    </row>
    <row r="3724" spans="1:5" ht="30" customHeight="1">
      <c r="A3724" s="4">
        <v>3722</v>
      </c>
      <c r="B3724" s="4" t="str">
        <f>"39712022060613100596438"</f>
        <v>39712022060613100596438</v>
      </c>
      <c r="C3724" s="4" t="s">
        <v>28</v>
      </c>
      <c r="D3724" s="4" t="str">
        <f>"严秀东"</f>
        <v>严秀东</v>
      </c>
      <c r="E3724" s="4" t="str">
        <f t="shared" si="146"/>
        <v>女</v>
      </c>
    </row>
    <row r="3725" spans="1:5" ht="30" customHeight="1">
      <c r="A3725" s="4">
        <v>3723</v>
      </c>
      <c r="B3725" s="4" t="str">
        <f>"39712022060613164596503"</f>
        <v>39712022060613164596503</v>
      </c>
      <c r="C3725" s="4" t="s">
        <v>28</v>
      </c>
      <c r="D3725" s="4" t="str">
        <f>"林翔"</f>
        <v>林翔</v>
      </c>
      <c r="E3725" s="4" t="str">
        <f t="shared" si="146"/>
        <v>女</v>
      </c>
    </row>
    <row r="3726" spans="1:5" ht="30" customHeight="1">
      <c r="A3726" s="4">
        <v>3724</v>
      </c>
      <c r="B3726" s="4" t="str">
        <f>"39712022060613190396522"</f>
        <v>39712022060613190396522</v>
      </c>
      <c r="C3726" s="4" t="s">
        <v>28</v>
      </c>
      <c r="D3726" s="4" t="str">
        <f>"莫海燕"</f>
        <v>莫海燕</v>
      </c>
      <c r="E3726" s="4" t="str">
        <f t="shared" si="146"/>
        <v>女</v>
      </c>
    </row>
    <row r="3727" spans="1:5" ht="30" customHeight="1">
      <c r="A3727" s="4">
        <v>3725</v>
      </c>
      <c r="B3727" s="4" t="str">
        <f>"39712022060613203996535"</f>
        <v>39712022060613203996535</v>
      </c>
      <c r="C3727" s="4" t="s">
        <v>28</v>
      </c>
      <c r="D3727" s="4" t="str">
        <f>"陈嫔韵"</f>
        <v>陈嫔韵</v>
      </c>
      <c r="E3727" s="4" t="str">
        <f t="shared" si="146"/>
        <v>女</v>
      </c>
    </row>
    <row r="3728" spans="1:5" ht="30" customHeight="1">
      <c r="A3728" s="4">
        <v>3726</v>
      </c>
      <c r="B3728" s="4" t="str">
        <f>"39712022060613231796558"</f>
        <v>39712022060613231796558</v>
      </c>
      <c r="C3728" s="4" t="s">
        <v>28</v>
      </c>
      <c r="D3728" s="4" t="str">
        <f>"陈妹女"</f>
        <v>陈妹女</v>
      </c>
      <c r="E3728" s="4" t="str">
        <f t="shared" si="146"/>
        <v>女</v>
      </c>
    </row>
    <row r="3729" spans="1:5" ht="30" customHeight="1">
      <c r="A3729" s="4">
        <v>3727</v>
      </c>
      <c r="B3729" s="4" t="str">
        <f>"39712022060613263496584"</f>
        <v>39712022060613263496584</v>
      </c>
      <c r="C3729" s="4" t="s">
        <v>28</v>
      </c>
      <c r="D3729" s="4" t="str">
        <f>"曹妙"</f>
        <v>曹妙</v>
      </c>
      <c r="E3729" s="4" t="str">
        <f t="shared" si="146"/>
        <v>女</v>
      </c>
    </row>
    <row r="3730" spans="1:5" ht="30" customHeight="1">
      <c r="A3730" s="4">
        <v>3728</v>
      </c>
      <c r="B3730" s="4" t="str">
        <f>"39712022060613280196587"</f>
        <v>39712022060613280196587</v>
      </c>
      <c r="C3730" s="4" t="s">
        <v>28</v>
      </c>
      <c r="D3730" s="4" t="str">
        <f>"陈丽"</f>
        <v>陈丽</v>
      </c>
      <c r="E3730" s="4" t="str">
        <f t="shared" si="146"/>
        <v>女</v>
      </c>
    </row>
    <row r="3731" spans="1:5" ht="30" customHeight="1">
      <c r="A3731" s="4">
        <v>3729</v>
      </c>
      <c r="B3731" s="4" t="str">
        <f>"39712022060613322396636"</f>
        <v>39712022060613322396636</v>
      </c>
      <c r="C3731" s="4" t="s">
        <v>28</v>
      </c>
      <c r="D3731" s="4" t="str">
        <f>"卓菁菁"</f>
        <v>卓菁菁</v>
      </c>
      <c r="E3731" s="4" t="str">
        <f t="shared" si="146"/>
        <v>女</v>
      </c>
    </row>
    <row r="3732" spans="1:5" ht="30" customHeight="1">
      <c r="A3732" s="4">
        <v>3730</v>
      </c>
      <c r="B3732" s="4" t="str">
        <f>"39712022060613444096726"</f>
        <v>39712022060613444096726</v>
      </c>
      <c r="C3732" s="4" t="s">
        <v>28</v>
      </c>
      <c r="D3732" s="4" t="str">
        <f>"赵子欣"</f>
        <v>赵子欣</v>
      </c>
      <c r="E3732" s="4" t="str">
        <f t="shared" si="146"/>
        <v>女</v>
      </c>
    </row>
    <row r="3733" spans="1:5" ht="30" customHeight="1">
      <c r="A3733" s="4">
        <v>3731</v>
      </c>
      <c r="B3733" s="4" t="str">
        <f>"39712022060614064996900"</f>
        <v>39712022060614064996900</v>
      </c>
      <c r="C3733" s="4" t="s">
        <v>28</v>
      </c>
      <c r="D3733" s="4" t="str">
        <f>"云艳苗"</f>
        <v>云艳苗</v>
      </c>
      <c r="E3733" s="4" t="str">
        <f t="shared" si="146"/>
        <v>女</v>
      </c>
    </row>
    <row r="3734" spans="1:5" ht="30" customHeight="1">
      <c r="A3734" s="4">
        <v>3732</v>
      </c>
      <c r="B3734" s="4" t="str">
        <f>"39712022060614074796908"</f>
        <v>39712022060614074796908</v>
      </c>
      <c r="C3734" s="4" t="s">
        <v>28</v>
      </c>
      <c r="D3734" s="4" t="str">
        <f>"王永敏"</f>
        <v>王永敏</v>
      </c>
      <c r="E3734" s="4" t="str">
        <f t="shared" si="146"/>
        <v>女</v>
      </c>
    </row>
    <row r="3735" spans="1:5" ht="30" customHeight="1">
      <c r="A3735" s="4">
        <v>3733</v>
      </c>
      <c r="B3735" s="4" t="str">
        <f>"39712022060614312597124"</f>
        <v>39712022060614312597124</v>
      </c>
      <c r="C3735" s="4" t="s">
        <v>28</v>
      </c>
      <c r="D3735" s="4" t="str">
        <f>"李虹"</f>
        <v>李虹</v>
      </c>
      <c r="E3735" s="4" t="str">
        <f t="shared" si="146"/>
        <v>女</v>
      </c>
    </row>
    <row r="3736" spans="1:5" ht="30" customHeight="1">
      <c r="A3736" s="4">
        <v>3734</v>
      </c>
      <c r="B3736" s="4" t="str">
        <f>"39712022060614422897250"</f>
        <v>39712022060614422897250</v>
      </c>
      <c r="C3736" s="4" t="s">
        <v>28</v>
      </c>
      <c r="D3736" s="4" t="str">
        <f>"陈焕南"</f>
        <v>陈焕南</v>
      </c>
      <c r="E3736" s="4" t="str">
        <f t="shared" si="146"/>
        <v>女</v>
      </c>
    </row>
    <row r="3737" spans="1:5" ht="30" customHeight="1">
      <c r="A3737" s="4">
        <v>3735</v>
      </c>
      <c r="B3737" s="4" t="str">
        <f>"39712022060614521297390"</f>
        <v>39712022060614521297390</v>
      </c>
      <c r="C3737" s="4" t="s">
        <v>28</v>
      </c>
      <c r="D3737" s="4" t="str">
        <f>"邢韵"</f>
        <v>邢韵</v>
      </c>
      <c r="E3737" s="4" t="str">
        <f t="shared" si="146"/>
        <v>女</v>
      </c>
    </row>
    <row r="3738" spans="1:5" ht="30" customHeight="1">
      <c r="A3738" s="4">
        <v>3736</v>
      </c>
      <c r="B3738" s="4" t="str">
        <f>"39712022060614552897435"</f>
        <v>39712022060614552897435</v>
      </c>
      <c r="C3738" s="4" t="s">
        <v>28</v>
      </c>
      <c r="D3738" s="4" t="str">
        <f>"冯小玉"</f>
        <v>冯小玉</v>
      </c>
      <c r="E3738" s="4" t="str">
        <f t="shared" si="146"/>
        <v>女</v>
      </c>
    </row>
    <row r="3739" spans="1:5" ht="30" customHeight="1">
      <c r="A3739" s="4">
        <v>3737</v>
      </c>
      <c r="B3739" s="4" t="str">
        <f>"39712022060615011897512"</f>
        <v>39712022060615011897512</v>
      </c>
      <c r="C3739" s="4" t="s">
        <v>28</v>
      </c>
      <c r="D3739" s="4" t="str">
        <f>"李礼珍"</f>
        <v>李礼珍</v>
      </c>
      <c r="E3739" s="4" t="str">
        <f t="shared" si="146"/>
        <v>女</v>
      </c>
    </row>
    <row r="3740" spans="1:5" ht="30" customHeight="1">
      <c r="A3740" s="4">
        <v>3738</v>
      </c>
      <c r="B3740" s="4" t="str">
        <f>"39712022060615022497532"</f>
        <v>39712022060615022497532</v>
      </c>
      <c r="C3740" s="4" t="s">
        <v>28</v>
      </c>
      <c r="D3740" s="4" t="str">
        <f>"蓝晶晶"</f>
        <v>蓝晶晶</v>
      </c>
      <c r="E3740" s="4" t="str">
        <f t="shared" si="146"/>
        <v>女</v>
      </c>
    </row>
    <row r="3741" spans="1:5" ht="30" customHeight="1">
      <c r="A3741" s="4">
        <v>3739</v>
      </c>
      <c r="B3741" s="4" t="str">
        <f>"39712022060615022797533"</f>
        <v>39712022060615022797533</v>
      </c>
      <c r="C3741" s="4" t="s">
        <v>28</v>
      </c>
      <c r="D3741" s="4" t="str">
        <f>"吴晓青"</f>
        <v>吴晓青</v>
      </c>
      <c r="E3741" s="4" t="str">
        <f t="shared" si="146"/>
        <v>女</v>
      </c>
    </row>
    <row r="3742" spans="1:5" ht="30" customHeight="1">
      <c r="A3742" s="4">
        <v>3740</v>
      </c>
      <c r="B3742" s="4" t="str">
        <f>"39712022060615023197535"</f>
        <v>39712022060615023197535</v>
      </c>
      <c r="C3742" s="4" t="s">
        <v>28</v>
      </c>
      <c r="D3742" s="4" t="str">
        <f>"李洁莹"</f>
        <v>李洁莹</v>
      </c>
      <c r="E3742" s="4" t="str">
        <f t="shared" si="146"/>
        <v>女</v>
      </c>
    </row>
    <row r="3743" spans="1:5" ht="30" customHeight="1">
      <c r="A3743" s="4">
        <v>3741</v>
      </c>
      <c r="B3743" s="4" t="str">
        <f>"39712022060615025097538"</f>
        <v>39712022060615025097538</v>
      </c>
      <c r="C3743" s="4" t="s">
        <v>28</v>
      </c>
      <c r="D3743" s="4" t="str">
        <f>"吴佩芳"</f>
        <v>吴佩芳</v>
      </c>
      <c r="E3743" s="4" t="str">
        <f t="shared" si="146"/>
        <v>女</v>
      </c>
    </row>
    <row r="3744" spans="1:5" ht="30" customHeight="1">
      <c r="A3744" s="4">
        <v>3742</v>
      </c>
      <c r="B3744" s="4" t="str">
        <f>"39712022060615095297637"</f>
        <v>39712022060615095297637</v>
      </c>
      <c r="C3744" s="4" t="s">
        <v>28</v>
      </c>
      <c r="D3744" s="4" t="str">
        <f>"冼淑云"</f>
        <v>冼淑云</v>
      </c>
      <c r="E3744" s="4" t="str">
        <f t="shared" si="146"/>
        <v>女</v>
      </c>
    </row>
    <row r="3745" spans="1:5" ht="30" customHeight="1">
      <c r="A3745" s="4">
        <v>3743</v>
      </c>
      <c r="B3745" s="4" t="str">
        <f>"39712022060615135697688"</f>
        <v>39712022060615135697688</v>
      </c>
      <c r="C3745" s="4" t="s">
        <v>28</v>
      </c>
      <c r="D3745" s="4" t="str">
        <f>"张莉莎"</f>
        <v>张莉莎</v>
      </c>
      <c r="E3745" s="4" t="str">
        <f t="shared" si="146"/>
        <v>女</v>
      </c>
    </row>
    <row r="3746" spans="1:5" ht="30" customHeight="1">
      <c r="A3746" s="4">
        <v>3744</v>
      </c>
      <c r="B3746" s="4" t="str">
        <f>"39712022060615182997750"</f>
        <v>39712022060615182997750</v>
      </c>
      <c r="C3746" s="4" t="s">
        <v>28</v>
      </c>
      <c r="D3746" s="4" t="str">
        <f>"李金英"</f>
        <v>李金英</v>
      </c>
      <c r="E3746" s="4" t="str">
        <f t="shared" si="146"/>
        <v>女</v>
      </c>
    </row>
    <row r="3747" spans="1:5" ht="30" customHeight="1">
      <c r="A3747" s="4">
        <v>3745</v>
      </c>
      <c r="B3747" s="4" t="str">
        <f>"39712022060615222897805"</f>
        <v>39712022060615222897805</v>
      </c>
      <c r="C3747" s="4" t="s">
        <v>28</v>
      </c>
      <c r="D3747" s="4" t="str">
        <f>"曾玉蓉"</f>
        <v>曾玉蓉</v>
      </c>
      <c r="E3747" s="4" t="str">
        <f t="shared" si="146"/>
        <v>女</v>
      </c>
    </row>
    <row r="3748" spans="1:5" ht="30" customHeight="1">
      <c r="A3748" s="4">
        <v>3746</v>
      </c>
      <c r="B3748" s="4" t="str">
        <f>"39712022060615254297854"</f>
        <v>39712022060615254297854</v>
      </c>
      <c r="C3748" s="4" t="s">
        <v>28</v>
      </c>
      <c r="D3748" s="4" t="str">
        <f>"林美应"</f>
        <v>林美应</v>
      </c>
      <c r="E3748" s="4" t="str">
        <f t="shared" si="146"/>
        <v>女</v>
      </c>
    </row>
    <row r="3749" spans="1:5" ht="30" customHeight="1">
      <c r="A3749" s="4">
        <v>3747</v>
      </c>
      <c r="B3749" s="4" t="str">
        <f>"39712022060615293597896"</f>
        <v>39712022060615293597896</v>
      </c>
      <c r="C3749" s="4" t="s">
        <v>28</v>
      </c>
      <c r="D3749" s="4" t="str">
        <f>"邢孔江"</f>
        <v>邢孔江</v>
      </c>
      <c r="E3749" s="4" t="str">
        <f t="shared" si="146"/>
        <v>女</v>
      </c>
    </row>
    <row r="3750" spans="1:5" ht="30" customHeight="1">
      <c r="A3750" s="4">
        <v>3748</v>
      </c>
      <c r="B3750" s="4" t="str">
        <f>"39712022060615300997907"</f>
        <v>39712022060615300997907</v>
      </c>
      <c r="C3750" s="4" t="s">
        <v>28</v>
      </c>
      <c r="D3750" s="4" t="str">
        <f>"倪德莉"</f>
        <v>倪德莉</v>
      </c>
      <c r="E3750" s="4" t="str">
        <f t="shared" si="146"/>
        <v>女</v>
      </c>
    </row>
    <row r="3751" spans="1:5" ht="30" customHeight="1">
      <c r="A3751" s="4">
        <v>3749</v>
      </c>
      <c r="B3751" s="4" t="str">
        <f>"39712022060615321197933"</f>
        <v>39712022060615321197933</v>
      </c>
      <c r="C3751" s="4" t="s">
        <v>28</v>
      </c>
      <c r="D3751" s="4" t="str">
        <f>"周思萌"</f>
        <v>周思萌</v>
      </c>
      <c r="E3751" s="4" t="str">
        <f t="shared" si="146"/>
        <v>女</v>
      </c>
    </row>
    <row r="3752" spans="1:5" ht="30" customHeight="1">
      <c r="A3752" s="4">
        <v>3750</v>
      </c>
      <c r="B3752" s="4" t="str">
        <f>"39712022060615354797964"</f>
        <v>39712022060615354797964</v>
      </c>
      <c r="C3752" s="4" t="s">
        <v>28</v>
      </c>
      <c r="D3752" s="4" t="str">
        <f>"周善鸾"</f>
        <v>周善鸾</v>
      </c>
      <c r="E3752" s="4" t="str">
        <f t="shared" si="146"/>
        <v>女</v>
      </c>
    </row>
    <row r="3753" spans="1:5" ht="30" customHeight="1">
      <c r="A3753" s="4">
        <v>3751</v>
      </c>
      <c r="B3753" s="4" t="str">
        <f>"39712022060615394198024"</f>
        <v>39712022060615394198024</v>
      </c>
      <c r="C3753" s="4" t="s">
        <v>28</v>
      </c>
      <c r="D3753" s="4" t="str">
        <f>"陈昱卉"</f>
        <v>陈昱卉</v>
      </c>
      <c r="E3753" s="4" t="str">
        <f t="shared" si="146"/>
        <v>女</v>
      </c>
    </row>
    <row r="3754" spans="1:5" ht="30" customHeight="1">
      <c r="A3754" s="4">
        <v>3752</v>
      </c>
      <c r="B3754" s="4" t="str">
        <f>"39712022060615432198075"</f>
        <v>39712022060615432198075</v>
      </c>
      <c r="C3754" s="4" t="s">
        <v>28</v>
      </c>
      <c r="D3754" s="4" t="str">
        <f>"黎倩妮"</f>
        <v>黎倩妮</v>
      </c>
      <c r="E3754" s="4" t="str">
        <f t="shared" si="146"/>
        <v>女</v>
      </c>
    </row>
    <row r="3755" spans="1:5" ht="30" customHeight="1">
      <c r="A3755" s="4">
        <v>3753</v>
      </c>
      <c r="B3755" s="4" t="str">
        <f>"39712022060615451498105"</f>
        <v>39712022060615451498105</v>
      </c>
      <c r="C3755" s="4" t="s">
        <v>28</v>
      </c>
      <c r="D3755" s="4" t="str">
        <f>"陈丽清"</f>
        <v>陈丽清</v>
      </c>
      <c r="E3755" s="4" t="str">
        <f t="shared" si="146"/>
        <v>女</v>
      </c>
    </row>
    <row r="3756" spans="1:5" ht="30" customHeight="1">
      <c r="A3756" s="4">
        <v>3754</v>
      </c>
      <c r="B3756" s="4" t="str">
        <f>"39712022060615455198115"</f>
        <v>39712022060615455198115</v>
      </c>
      <c r="C3756" s="4" t="s">
        <v>28</v>
      </c>
      <c r="D3756" s="4" t="str">
        <f>"陆芯兰"</f>
        <v>陆芯兰</v>
      </c>
      <c r="E3756" s="4" t="str">
        <f t="shared" si="146"/>
        <v>女</v>
      </c>
    </row>
    <row r="3757" spans="1:5" ht="30" customHeight="1">
      <c r="A3757" s="4">
        <v>3755</v>
      </c>
      <c r="B3757" s="4" t="str">
        <f>"39712022060615475998148"</f>
        <v>39712022060615475998148</v>
      </c>
      <c r="C3757" s="4" t="s">
        <v>28</v>
      </c>
      <c r="D3757" s="4" t="str">
        <f>"石冬梅"</f>
        <v>石冬梅</v>
      </c>
      <c r="E3757" s="4" t="str">
        <f t="shared" si="146"/>
        <v>女</v>
      </c>
    </row>
    <row r="3758" spans="1:5" ht="30" customHeight="1">
      <c r="A3758" s="4">
        <v>3756</v>
      </c>
      <c r="B3758" s="4" t="str">
        <f>"39712022060615505598190"</f>
        <v>39712022060615505598190</v>
      </c>
      <c r="C3758" s="4" t="s">
        <v>28</v>
      </c>
      <c r="D3758" s="4" t="str">
        <f>"林艳丽"</f>
        <v>林艳丽</v>
      </c>
      <c r="E3758" s="4" t="str">
        <f t="shared" si="146"/>
        <v>女</v>
      </c>
    </row>
    <row r="3759" spans="1:5" ht="30" customHeight="1">
      <c r="A3759" s="4">
        <v>3757</v>
      </c>
      <c r="B3759" s="4" t="str">
        <f>"39712022060615520998208"</f>
        <v>39712022060615520998208</v>
      </c>
      <c r="C3759" s="4" t="s">
        <v>28</v>
      </c>
      <c r="D3759" s="4" t="str">
        <f>"王世韵"</f>
        <v>王世韵</v>
      </c>
      <c r="E3759" s="4" t="str">
        <f t="shared" si="146"/>
        <v>女</v>
      </c>
    </row>
    <row r="3760" spans="1:5" ht="30" customHeight="1">
      <c r="A3760" s="4">
        <v>3758</v>
      </c>
      <c r="B3760" s="4" t="str">
        <f>"39712022060615532198226"</f>
        <v>39712022060615532198226</v>
      </c>
      <c r="C3760" s="4" t="s">
        <v>28</v>
      </c>
      <c r="D3760" s="4" t="str">
        <f>"王芯颖"</f>
        <v>王芯颖</v>
      </c>
      <c r="E3760" s="4" t="str">
        <f t="shared" si="146"/>
        <v>女</v>
      </c>
    </row>
    <row r="3761" spans="1:5" ht="30" customHeight="1">
      <c r="A3761" s="4">
        <v>3759</v>
      </c>
      <c r="B3761" s="4" t="str">
        <f>"39712022060615573898286"</f>
        <v>39712022060615573898286</v>
      </c>
      <c r="C3761" s="4" t="s">
        <v>28</v>
      </c>
      <c r="D3761" s="4" t="str">
        <f>"林子玉"</f>
        <v>林子玉</v>
      </c>
      <c r="E3761" s="4" t="str">
        <f t="shared" si="146"/>
        <v>女</v>
      </c>
    </row>
    <row r="3762" spans="1:5" ht="30" customHeight="1">
      <c r="A3762" s="4">
        <v>3760</v>
      </c>
      <c r="B3762" s="4" t="str">
        <f>"39712022060615594198319"</f>
        <v>39712022060615594198319</v>
      </c>
      <c r="C3762" s="4" t="s">
        <v>28</v>
      </c>
      <c r="D3762" s="4" t="str">
        <f>"曹玉丹"</f>
        <v>曹玉丹</v>
      </c>
      <c r="E3762" s="4" t="str">
        <f t="shared" si="146"/>
        <v>女</v>
      </c>
    </row>
    <row r="3763" spans="1:5" ht="30" customHeight="1">
      <c r="A3763" s="4">
        <v>3761</v>
      </c>
      <c r="B3763" s="4" t="str">
        <f>"39712022060616005198334"</f>
        <v>39712022060616005198334</v>
      </c>
      <c r="C3763" s="4" t="s">
        <v>28</v>
      </c>
      <c r="D3763" s="4" t="str">
        <f>"黎燕花"</f>
        <v>黎燕花</v>
      </c>
      <c r="E3763" s="4" t="str">
        <f t="shared" si="146"/>
        <v>女</v>
      </c>
    </row>
    <row r="3764" spans="1:5" ht="30" customHeight="1">
      <c r="A3764" s="4">
        <v>3762</v>
      </c>
      <c r="B3764" s="4" t="str">
        <f>"39712022060616031098362"</f>
        <v>39712022060616031098362</v>
      </c>
      <c r="C3764" s="4" t="s">
        <v>28</v>
      </c>
      <c r="D3764" s="4" t="str">
        <f>"符缃昀"</f>
        <v>符缃昀</v>
      </c>
      <c r="E3764" s="4" t="str">
        <f t="shared" si="146"/>
        <v>女</v>
      </c>
    </row>
    <row r="3765" spans="1:5" ht="30" customHeight="1">
      <c r="A3765" s="4">
        <v>3763</v>
      </c>
      <c r="B3765" s="4" t="str">
        <f>"39712022060616054198395"</f>
        <v>39712022060616054198395</v>
      </c>
      <c r="C3765" s="4" t="s">
        <v>28</v>
      </c>
      <c r="D3765" s="4" t="str">
        <f>"冯怡"</f>
        <v>冯怡</v>
      </c>
      <c r="E3765" s="4" t="str">
        <f t="shared" si="146"/>
        <v>女</v>
      </c>
    </row>
    <row r="3766" spans="1:5" ht="30" customHeight="1">
      <c r="A3766" s="4">
        <v>3764</v>
      </c>
      <c r="B3766" s="4" t="str">
        <f>"39712022060616082798428"</f>
        <v>39712022060616082798428</v>
      </c>
      <c r="C3766" s="4" t="s">
        <v>28</v>
      </c>
      <c r="D3766" s="4" t="str">
        <f>"王佳俐"</f>
        <v>王佳俐</v>
      </c>
      <c r="E3766" s="4" t="str">
        <f t="shared" si="146"/>
        <v>女</v>
      </c>
    </row>
    <row r="3767" spans="1:5" ht="30" customHeight="1">
      <c r="A3767" s="4">
        <v>3765</v>
      </c>
      <c r="B3767" s="4" t="str">
        <f>"39712022060616095498449"</f>
        <v>39712022060616095498449</v>
      </c>
      <c r="C3767" s="4" t="s">
        <v>28</v>
      </c>
      <c r="D3767" s="4" t="str">
        <f>"覃春来"</f>
        <v>覃春来</v>
      </c>
      <c r="E3767" s="4" t="str">
        <f t="shared" si="146"/>
        <v>女</v>
      </c>
    </row>
    <row r="3768" spans="1:5" ht="30" customHeight="1">
      <c r="A3768" s="4">
        <v>3766</v>
      </c>
      <c r="B3768" s="4" t="str">
        <f>"39712022060616121298483"</f>
        <v>39712022060616121298483</v>
      </c>
      <c r="C3768" s="4" t="s">
        <v>28</v>
      </c>
      <c r="D3768" s="4" t="str">
        <f>"容镜希"</f>
        <v>容镜希</v>
      </c>
      <c r="E3768" s="4" t="str">
        <f t="shared" si="146"/>
        <v>女</v>
      </c>
    </row>
    <row r="3769" spans="1:5" ht="30" customHeight="1">
      <c r="A3769" s="4">
        <v>3767</v>
      </c>
      <c r="B3769" s="4" t="str">
        <f>"39712022060616123198490"</f>
        <v>39712022060616123198490</v>
      </c>
      <c r="C3769" s="4" t="s">
        <v>28</v>
      </c>
      <c r="D3769" s="4" t="str">
        <f>"尹妃"</f>
        <v>尹妃</v>
      </c>
      <c r="E3769" s="4" t="str">
        <f t="shared" si="146"/>
        <v>女</v>
      </c>
    </row>
    <row r="3770" spans="1:5" ht="30" customHeight="1">
      <c r="A3770" s="4">
        <v>3768</v>
      </c>
      <c r="B3770" s="4" t="str">
        <f>"39712022060616183498571"</f>
        <v>39712022060616183498571</v>
      </c>
      <c r="C3770" s="4" t="s">
        <v>28</v>
      </c>
      <c r="D3770" s="4" t="str">
        <f>"陈秀珍"</f>
        <v>陈秀珍</v>
      </c>
      <c r="E3770" s="4" t="str">
        <f t="shared" si="146"/>
        <v>女</v>
      </c>
    </row>
    <row r="3771" spans="1:5" ht="30" customHeight="1">
      <c r="A3771" s="4">
        <v>3769</v>
      </c>
      <c r="B3771" s="4" t="str">
        <f>"39712022060616204298597"</f>
        <v>39712022060616204298597</v>
      </c>
      <c r="C3771" s="4" t="s">
        <v>28</v>
      </c>
      <c r="D3771" s="4" t="str">
        <f>"王漫女"</f>
        <v>王漫女</v>
      </c>
      <c r="E3771" s="4" t="str">
        <f t="shared" si="146"/>
        <v>女</v>
      </c>
    </row>
    <row r="3772" spans="1:5" ht="30" customHeight="1">
      <c r="A3772" s="4">
        <v>3770</v>
      </c>
      <c r="B3772" s="4" t="str">
        <f>"39712022060616230198627"</f>
        <v>39712022060616230198627</v>
      </c>
      <c r="C3772" s="4" t="s">
        <v>28</v>
      </c>
      <c r="D3772" s="4" t="str">
        <f>"曾雪敏"</f>
        <v>曾雪敏</v>
      </c>
      <c r="E3772" s="4" t="str">
        <f t="shared" si="146"/>
        <v>女</v>
      </c>
    </row>
    <row r="3773" spans="1:5" ht="30" customHeight="1">
      <c r="A3773" s="4">
        <v>3771</v>
      </c>
      <c r="B3773" s="4" t="str">
        <f>"39712022060616262298662"</f>
        <v>39712022060616262298662</v>
      </c>
      <c r="C3773" s="4" t="s">
        <v>28</v>
      </c>
      <c r="D3773" s="4" t="str">
        <f>"刘爽"</f>
        <v>刘爽</v>
      </c>
      <c r="E3773" s="4" t="str">
        <f t="shared" si="146"/>
        <v>女</v>
      </c>
    </row>
    <row r="3774" spans="1:5" ht="30" customHeight="1">
      <c r="A3774" s="4">
        <v>3772</v>
      </c>
      <c r="B3774" s="4" t="str">
        <f>"39712022060616295798713"</f>
        <v>39712022060616295798713</v>
      </c>
      <c r="C3774" s="4" t="s">
        <v>28</v>
      </c>
      <c r="D3774" s="4" t="str">
        <f>"苏文强"</f>
        <v>苏文强</v>
      </c>
      <c r="E3774" s="4" t="str">
        <f>"男"</f>
        <v>男</v>
      </c>
    </row>
    <row r="3775" spans="1:5" ht="30" customHeight="1">
      <c r="A3775" s="4">
        <v>3773</v>
      </c>
      <c r="B3775" s="4" t="str">
        <f>"39712022060616301498718"</f>
        <v>39712022060616301498718</v>
      </c>
      <c r="C3775" s="4" t="s">
        <v>28</v>
      </c>
      <c r="D3775" s="4" t="str">
        <f>"滕珊珊"</f>
        <v>滕珊珊</v>
      </c>
      <c r="E3775" s="4" t="str">
        <f aca="true" t="shared" si="147" ref="E3775:E3808">"女"</f>
        <v>女</v>
      </c>
    </row>
    <row r="3776" spans="1:5" ht="30" customHeight="1">
      <c r="A3776" s="4">
        <v>3774</v>
      </c>
      <c r="B3776" s="4" t="str">
        <f>"39712022060616312298732"</f>
        <v>39712022060616312298732</v>
      </c>
      <c r="C3776" s="4" t="s">
        <v>28</v>
      </c>
      <c r="D3776" s="4" t="str">
        <f>"洪恩娟"</f>
        <v>洪恩娟</v>
      </c>
      <c r="E3776" s="4" t="str">
        <f t="shared" si="147"/>
        <v>女</v>
      </c>
    </row>
    <row r="3777" spans="1:5" ht="30" customHeight="1">
      <c r="A3777" s="4">
        <v>3775</v>
      </c>
      <c r="B3777" s="4" t="str">
        <f>"39712022060616380798817"</f>
        <v>39712022060616380798817</v>
      </c>
      <c r="C3777" s="4" t="s">
        <v>28</v>
      </c>
      <c r="D3777" s="4" t="str">
        <f>"陈燕"</f>
        <v>陈燕</v>
      </c>
      <c r="E3777" s="4" t="str">
        <f t="shared" si="147"/>
        <v>女</v>
      </c>
    </row>
    <row r="3778" spans="1:5" ht="30" customHeight="1">
      <c r="A3778" s="4">
        <v>3776</v>
      </c>
      <c r="B3778" s="4" t="str">
        <f>"39712022060616390098829"</f>
        <v>39712022060616390098829</v>
      </c>
      <c r="C3778" s="4" t="s">
        <v>28</v>
      </c>
      <c r="D3778" s="4" t="str">
        <f>"柯彦萍"</f>
        <v>柯彦萍</v>
      </c>
      <c r="E3778" s="4" t="str">
        <f t="shared" si="147"/>
        <v>女</v>
      </c>
    </row>
    <row r="3779" spans="1:5" ht="30" customHeight="1">
      <c r="A3779" s="4">
        <v>3777</v>
      </c>
      <c r="B3779" s="4" t="str">
        <f>"39712022060616462598929"</f>
        <v>39712022060616462598929</v>
      </c>
      <c r="C3779" s="4" t="s">
        <v>28</v>
      </c>
      <c r="D3779" s="4" t="str">
        <f>"唐利利"</f>
        <v>唐利利</v>
      </c>
      <c r="E3779" s="4" t="str">
        <f t="shared" si="147"/>
        <v>女</v>
      </c>
    </row>
    <row r="3780" spans="1:5" ht="30" customHeight="1">
      <c r="A3780" s="4">
        <v>3778</v>
      </c>
      <c r="B3780" s="4" t="str">
        <f>"39712022060616483798959"</f>
        <v>39712022060616483798959</v>
      </c>
      <c r="C3780" s="4" t="s">
        <v>28</v>
      </c>
      <c r="D3780" s="4" t="str">
        <f>"林婉妃"</f>
        <v>林婉妃</v>
      </c>
      <c r="E3780" s="4" t="str">
        <f t="shared" si="147"/>
        <v>女</v>
      </c>
    </row>
    <row r="3781" spans="1:5" ht="30" customHeight="1">
      <c r="A3781" s="4">
        <v>3779</v>
      </c>
      <c r="B3781" s="4" t="str">
        <f>"39712022060616534699021"</f>
        <v>39712022060616534699021</v>
      </c>
      <c r="C3781" s="4" t="s">
        <v>28</v>
      </c>
      <c r="D3781" s="4" t="str">
        <f>"袁娜"</f>
        <v>袁娜</v>
      </c>
      <c r="E3781" s="4" t="str">
        <f t="shared" si="147"/>
        <v>女</v>
      </c>
    </row>
    <row r="3782" spans="1:5" ht="30" customHeight="1">
      <c r="A3782" s="4">
        <v>3780</v>
      </c>
      <c r="B3782" s="4" t="str">
        <f>"39712022060616581299075"</f>
        <v>39712022060616581299075</v>
      </c>
      <c r="C3782" s="4" t="s">
        <v>28</v>
      </c>
      <c r="D3782" s="4" t="str">
        <f>"陈慧婕"</f>
        <v>陈慧婕</v>
      </c>
      <c r="E3782" s="4" t="str">
        <f t="shared" si="147"/>
        <v>女</v>
      </c>
    </row>
    <row r="3783" spans="1:5" ht="30" customHeight="1">
      <c r="A3783" s="4">
        <v>3781</v>
      </c>
      <c r="B3783" s="4" t="str">
        <f>"39712022060616593899086"</f>
        <v>39712022060616593899086</v>
      </c>
      <c r="C3783" s="4" t="s">
        <v>28</v>
      </c>
      <c r="D3783" s="4" t="str">
        <f>"苏利曼"</f>
        <v>苏利曼</v>
      </c>
      <c r="E3783" s="4" t="str">
        <f t="shared" si="147"/>
        <v>女</v>
      </c>
    </row>
    <row r="3784" spans="1:5" ht="30" customHeight="1">
      <c r="A3784" s="4">
        <v>3782</v>
      </c>
      <c r="B3784" s="4" t="str">
        <f>"39712022060617003599095"</f>
        <v>39712022060617003599095</v>
      </c>
      <c r="C3784" s="4" t="s">
        <v>28</v>
      </c>
      <c r="D3784" s="4" t="str">
        <f>"符吉仙"</f>
        <v>符吉仙</v>
      </c>
      <c r="E3784" s="4" t="str">
        <f t="shared" si="147"/>
        <v>女</v>
      </c>
    </row>
    <row r="3785" spans="1:5" ht="30" customHeight="1">
      <c r="A3785" s="4">
        <v>3783</v>
      </c>
      <c r="B3785" s="4" t="str">
        <f>"39712022060617013099103"</f>
        <v>39712022060617013099103</v>
      </c>
      <c r="C3785" s="4" t="s">
        <v>28</v>
      </c>
      <c r="D3785" s="4" t="str">
        <f>"姜玮岩"</f>
        <v>姜玮岩</v>
      </c>
      <c r="E3785" s="4" t="str">
        <f t="shared" si="147"/>
        <v>女</v>
      </c>
    </row>
    <row r="3786" spans="1:5" ht="30" customHeight="1">
      <c r="A3786" s="4">
        <v>3784</v>
      </c>
      <c r="B3786" s="4" t="str">
        <f>"39712022060617023999111"</f>
        <v>39712022060617023999111</v>
      </c>
      <c r="C3786" s="4" t="s">
        <v>28</v>
      </c>
      <c r="D3786" s="4" t="str">
        <f>"王光静"</f>
        <v>王光静</v>
      </c>
      <c r="E3786" s="4" t="str">
        <f t="shared" si="147"/>
        <v>女</v>
      </c>
    </row>
    <row r="3787" spans="1:5" ht="30" customHeight="1">
      <c r="A3787" s="4">
        <v>3785</v>
      </c>
      <c r="B3787" s="4" t="str">
        <f>"39712022060617092299194"</f>
        <v>39712022060617092299194</v>
      </c>
      <c r="C3787" s="4" t="s">
        <v>28</v>
      </c>
      <c r="D3787" s="4" t="str">
        <f>"邢颖"</f>
        <v>邢颖</v>
      </c>
      <c r="E3787" s="4" t="str">
        <f t="shared" si="147"/>
        <v>女</v>
      </c>
    </row>
    <row r="3788" spans="1:5" ht="30" customHeight="1">
      <c r="A3788" s="4">
        <v>3786</v>
      </c>
      <c r="B3788" s="4" t="str">
        <f>"39712022060617105199212"</f>
        <v>39712022060617105199212</v>
      </c>
      <c r="C3788" s="4" t="s">
        <v>28</v>
      </c>
      <c r="D3788" s="4" t="str">
        <f>"冯慧丹"</f>
        <v>冯慧丹</v>
      </c>
      <c r="E3788" s="4" t="str">
        <f t="shared" si="147"/>
        <v>女</v>
      </c>
    </row>
    <row r="3789" spans="1:5" ht="30" customHeight="1">
      <c r="A3789" s="4">
        <v>3787</v>
      </c>
      <c r="B3789" s="4" t="str">
        <f>"39712022060617152099257"</f>
        <v>39712022060617152099257</v>
      </c>
      <c r="C3789" s="4" t="s">
        <v>28</v>
      </c>
      <c r="D3789" s="4" t="str">
        <f>"周芸睿"</f>
        <v>周芸睿</v>
      </c>
      <c r="E3789" s="4" t="str">
        <f t="shared" si="147"/>
        <v>女</v>
      </c>
    </row>
    <row r="3790" spans="1:5" ht="30" customHeight="1">
      <c r="A3790" s="4">
        <v>3788</v>
      </c>
      <c r="B3790" s="4" t="str">
        <f>"39712022060617203699311"</f>
        <v>39712022060617203699311</v>
      </c>
      <c r="C3790" s="4" t="s">
        <v>28</v>
      </c>
      <c r="D3790" s="4" t="str">
        <f>"李文洁"</f>
        <v>李文洁</v>
      </c>
      <c r="E3790" s="4" t="str">
        <f t="shared" si="147"/>
        <v>女</v>
      </c>
    </row>
    <row r="3791" spans="1:5" ht="30" customHeight="1">
      <c r="A3791" s="4">
        <v>3789</v>
      </c>
      <c r="B3791" s="4" t="str">
        <f>"39712022060617212299319"</f>
        <v>39712022060617212299319</v>
      </c>
      <c r="C3791" s="4" t="s">
        <v>28</v>
      </c>
      <c r="D3791" s="4" t="str">
        <f>"陈娇凤"</f>
        <v>陈娇凤</v>
      </c>
      <c r="E3791" s="4" t="str">
        <f t="shared" si="147"/>
        <v>女</v>
      </c>
    </row>
    <row r="3792" spans="1:5" ht="30" customHeight="1">
      <c r="A3792" s="4">
        <v>3790</v>
      </c>
      <c r="B3792" s="4" t="str">
        <f>"39712022060617242999348"</f>
        <v>39712022060617242999348</v>
      </c>
      <c r="C3792" s="4" t="s">
        <v>28</v>
      </c>
      <c r="D3792" s="4" t="str">
        <f>"李玟"</f>
        <v>李玟</v>
      </c>
      <c r="E3792" s="4" t="str">
        <f t="shared" si="147"/>
        <v>女</v>
      </c>
    </row>
    <row r="3793" spans="1:5" ht="30" customHeight="1">
      <c r="A3793" s="4">
        <v>3791</v>
      </c>
      <c r="B3793" s="4" t="str">
        <f>"39712022060617253199355"</f>
        <v>39712022060617253199355</v>
      </c>
      <c r="C3793" s="4" t="s">
        <v>28</v>
      </c>
      <c r="D3793" s="4" t="str">
        <f>"洪雅"</f>
        <v>洪雅</v>
      </c>
      <c r="E3793" s="4" t="str">
        <f t="shared" si="147"/>
        <v>女</v>
      </c>
    </row>
    <row r="3794" spans="1:5" ht="30" customHeight="1">
      <c r="A3794" s="4">
        <v>3792</v>
      </c>
      <c r="B3794" s="4" t="str">
        <f>"39712022060617293699392"</f>
        <v>39712022060617293699392</v>
      </c>
      <c r="C3794" s="4" t="s">
        <v>28</v>
      </c>
      <c r="D3794" s="4" t="str">
        <f>"李海艳"</f>
        <v>李海艳</v>
      </c>
      <c r="E3794" s="4" t="str">
        <f t="shared" si="147"/>
        <v>女</v>
      </c>
    </row>
    <row r="3795" spans="1:5" ht="30" customHeight="1">
      <c r="A3795" s="4">
        <v>3793</v>
      </c>
      <c r="B3795" s="4" t="str">
        <f>"39712022060617330099429"</f>
        <v>39712022060617330099429</v>
      </c>
      <c r="C3795" s="4" t="s">
        <v>28</v>
      </c>
      <c r="D3795" s="4" t="str">
        <f>"王华丽"</f>
        <v>王华丽</v>
      </c>
      <c r="E3795" s="4" t="str">
        <f t="shared" si="147"/>
        <v>女</v>
      </c>
    </row>
    <row r="3796" spans="1:5" ht="30" customHeight="1">
      <c r="A3796" s="4">
        <v>3794</v>
      </c>
      <c r="B3796" s="4" t="str">
        <f>"39712022060617380299469"</f>
        <v>39712022060617380299469</v>
      </c>
      <c r="C3796" s="4" t="s">
        <v>28</v>
      </c>
      <c r="D3796" s="4" t="str">
        <f>"吴秋波"</f>
        <v>吴秋波</v>
      </c>
      <c r="E3796" s="4" t="str">
        <f t="shared" si="147"/>
        <v>女</v>
      </c>
    </row>
    <row r="3797" spans="1:5" ht="30" customHeight="1">
      <c r="A3797" s="4">
        <v>3795</v>
      </c>
      <c r="B3797" s="4" t="str">
        <f>"39712022060617392399481"</f>
        <v>39712022060617392399481</v>
      </c>
      <c r="C3797" s="4" t="s">
        <v>28</v>
      </c>
      <c r="D3797" s="4" t="str">
        <f>"胡琛琛"</f>
        <v>胡琛琛</v>
      </c>
      <c r="E3797" s="4" t="str">
        <f t="shared" si="147"/>
        <v>女</v>
      </c>
    </row>
    <row r="3798" spans="1:5" ht="30" customHeight="1">
      <c r="A3798" s="4">
        <v>3796</v>
      </c>
      <c r="B3798" s="4" t="str">
        <f>"39712022060617420999504"</f>
        <v>39712022060617420999504</v>
      </c>
      <c r="C3798" s="4" t="s">
        <v>28</v>
      </c>
      <c r="D3798" s="4" t="str">
        <f>"吴素芳"</f>
        <v>吴素芳</v>
      </c>
      <c r="E3798" s="4" t="str">
        <f t="shared" si="147"/>
        <v>女</v>
      </c>
    </row>
    <row r="3799" spans="1:5" ht="30" customHeight="1">
      <c r="A3799" s="4">
        <v>3797</v>
      </c>
      <c r="B3799" s="4" t="str">
        <f>"39712022060617454599541"</f>
        <v>39712022060617454599541</v>
      </c>
      <c r="C3799" s="4" t="s">
        <v>28</v>
      </c>
      <c r="D3799" s="4" t="str">
        <f>"徐婷"</f>
        <v>徐婷</v>
      </c>
      <c r="E3799" s="4" t="str">
        <f t="shared" si="147"/>
        <v>女</v>
      </c>
    </row>
    <row r="3800" spans="1:5" ht="30" customHeight="1">
      <c r="A3800" s="4">
        <v>3798</v>
      </c>
      <c r="B3800" s="4" t="str">
        <f>"39712022060617464599551"</f>
        <v>39712022060617464599551</v>
      </c>
      <c r="C3800" s="4" t="s">
        <v>28</v>
      </c>
      <c r="D3800" s="4" t="str">
        <f>"王丹"</f>
        <v>王丹</v>
      </c>
      <c r="E3800" s="4" t="str">
        <f t="shared" si="147"/>
        <v>女</v>
      </c>
    </row>
    <row r="3801" spans="1:5" ht="30" customHeight="1">
      <c r="A3801" s="4">
        <v>3799</v>
      </c>
      <c r="B3801" s="4" t="str">
        <f>"39712022060617472099557"</f>
        <v>39712022060617472099557</v>
      </c>
      <c r="C3801" s="4" t="s">
        <v>28</v>
      </c>
      <c r="D3801" s="4" t="str">
        <f>"王莹菁"</f>
        <v>王莹菁</v>
      </c>
      <c r="E3801" s="4" t="str">
        <f t="shared" si="147"/>
        <v>女</v>
      </c>
    </row>
    <row r="3802" spans="1:5" ht="30" customHeight="1">
      <c r="A3802" s="4">
        <v>3800</v>
      </c>
      <c r="B3802" s="4" t="str">
        <f>"39712022060617475299561"</f>
        <v>39712022060617475299561</v>
      </c>
      <c r="C3802" s="4" t="s">
        <v>28</v>
      </c>
      <c r="D3802" s="4" t="str">
        <f>"陈嫦初"</f>
        <v>陈嫦初</v>
      </c>
      <c r="E3802" s="4" t="str">
        <f t="shared" si="147"/>
        <v>女</v>
      </c>
    </row>
    <row r="3803" spans="1:5" ht="30" customHeight="1">
      <c r="A3803" s="4">
        <v>3801</v>
      </c>
      <c r="B3803" s="4" t="str">
        <f>"39712022060617482199569"</f>
        <v>39712022060617482199569</v>
      </c>
      <c r="C3803" s="4" t="s">
        <v>28</v>
      </c>
      <c r="D3803" s="4" t="str">
        <f>"严尹祺"</f>
        <v>严尹祺</v>
      </c>
      <c r="E3803" s="4" t="str">
        <f t="shared" si="147"/>
        <v>女</v>
      </c>
    </row>
    <row r="3804" spans="1:5" ht="30" customHeight="1">
      <c r="A3804" s="4">
        <v>3802</v>
      </c>
      <c r="B3804" s="4" t="str">
        <f>"39712022060617543999627"</f>
        <v>39712022060617543999627</v>
      </c>
      <c r="C3804" s="4" t="s">
        <v>28</v>
      </c>
      <c r="D3804" s="4" t="str">
        <f>"许健"</f>
        <v>许健</v>
      </c>
      <c r="E3804" s="4" t="str">
        <f t="shared" si="147"/>
        <v>女</v>
      </c>
    </row>
    <row r="3805" spans="1:5" ht="30" customHeight="1">
      <c r="A3805" s="4">
        <v>3803</v>
      </c>
      <c r="B3805" s="4" t="str">
        <f>"39712022060617584999659"</f>
        <v>39712022060617584999659</v>
      </c>
      <c r="C3805" s="4" t="s">
        <v>28</v>
      </c>
      <c r="D3805" s="4" t="str">
        <f>"王静"</f>
        <v>王静</v>
      </c>
      <c r="E3805" s="4" t="str">
        <f t="shared" si="147"/>
        <v>女</v>
      </c>
    </row>
    <row r="3806" spans="1:5" ht="30" customHeight="1">
      <c r="A3806" s="4">
        <v>3804</v>
      </c>
      <c r="B3806" s="4" t="str">
        <f>"39712022060618035099703"</f>
        <v>39712022060618035099703</v>
      </c>
      <c r="C3806" s="4" t="s">
        <v>28</v>
      </c>
      <c r="D3806" s="4" t="str">
        <f>"罗星"</f>
        <v>罗星</v>
      </c>
      <c r="E3806" s="4" t="str">
        <f t="shared" si="147"/>
        <v>女</v>
      </c>
    </row>
    <row r="3807" spans="1:5" ht="30" customHeight="1">
      <c r="A3807" s="4">
        <v>3805</v>
      </c>
      <c r="B3807" s="4" t="str">
        <f>"39712022060618043699710"</f>
        <v>39712022060618043699710</v>
      </c>
      <c r="C3807" s="4" t="s">
        <v>28</v>
      </c>
      <c r="D3807" s="4" t="str">
        <f>"曾春兰"</f>
        <v>曾春兰</v>
      </c>
      <c r="E3807" s="4" t="str">
        <f t="shared" si="147"/>
        <v>女</v>
      </c>
    </row>
    <row r="3808" spans="1:5" ht="30" customHeight="1">
      <c r="A3808" s="4">
        <v>3806</v>
      </c>
      <c r="B3808" s="4" t="str">
        <f>"39712022060618045099713"</f>
        <v>39712022060618045099713</v>
      </c>
      <c r="C3808" s="4" t="s">
        <v>28</v>
      </c>
      <c r="D3808" s="4" t="str">
        <f>"陈慧敏"</f>
        <v>陈慧敏</v>
      </c>
      <c r="E3808" s="4" t="str">
        <f t="shared" si="147"/>
        <v>女</v>
      </c>
    </row>
    <row r="3809" spans="1:5" ht="30" customHeight="1">
      <c r="A3809" s="4">
        <v>3807</v>
      </c>
      <c r="B3809" s="4" t="str">
        <f>"39712022060618053299721"</f>
        <v>39712022060618053299721</v>
      </c>
      <c r="C3809" s="4" t="s">
        <v>28</v>
      </c>
      <c r="D3809" s="4" t="str">
        <f>"林妍妙"</f>
        <v>林妍妙</v>
      </c>
      <c r="E3809" s="4" t="s">
        <v>10</v>
      </c>
    </row>
    <row r="3810" spans="1:5" ht="30" customHeight="1">
      <c r="A3810" s="4">
        <v>3808</v>
      </c>
      <c r="B3810" s="4" t="str">
        <f>"39712022060618112399768"</f>
        <v>39712022060618112399768</v>
      </c>
      <c r="C3810" s="4" t="s">
        <v>28</v>
      </c>
      <c r="D3810" s="4" t="str">
        <f>"朱美妃"</f>
        <v>朱美妃</v>
      </c>
      <c r="E3810" s="4" t="str">
        <f aca="true" t="shared" si="148" ref="E3810:E3825">"女"</f>
        <v>女</v>
      </c>
    </row>
    <row r="3811" spans="1:5" ht="30" customHeight="1">
      <c r="A3811" s="4">
        <v>3809</v>
      </c>
      <c r="B3811" s="4" t="str">
        <f>"39712022060618113999773"</f>
        <v>39712022060618113999773</v>
      </c>
      <c r="C3811" s="4" t="s">
        <v>28</v>
      </c>
      <c r="D3811" s="4" t="str">
        <f>"张可芯"</f>
        <v>张可芯</v>
      </c>
      <c r="E3811" s="4" t="str">
        <f t="shared" si="148"/>
        <v>女</v>
      </c>
    </row>
    <row r="3812" spans="1:5" ht="30" customHeight="1">
      <c r="A3812" s="4">
        <v>3810</v>
      </c>
      <c r="B3812" s="4" t="str">
        <f>"39712022060618114299774"</f>
        <v>39712022060618114299774</v>
      </c>
      <c r="C3812" s="4" t="s">
        <v>28</v>
      </c>
      <c r="D3812" s="4" t="str">
        <f>"邱燕萍"</f>
        <v>邱燕萍</v>
      </c>
      <c r="E3812" s="4" t="str">
        <f t="shared" si="148"/>
        <v>女</v>
      </c>
    </row>
    <row r="3813" spans="1:5" ht="30" customHeight="1">
      <c r="A3813" s="4">
        <v>3811</v>
      </c>
      <c r="B3813" s="4" t="str">
        <f>"39712022060618180599831"</f>
        <v>39712022060618180599831</v>
      </c>
      <c r="C3813" s="4" t="s">
        <v>28</v>
      </c>
      <c r="D3813" s="4" t="str">
        <f>"黄亚孟"</f>
        <v>黄亚孟</v>
      </c>
      <c r="E3813" s="4" t="str">
        <f t="shared" si="148"/>
        <v>女</v>
      </c>
    </row>
    <row r="3814" spans="1:5" ht="30" customHeight="1">
      <c r="A3814" s="4">
        <v>3812</v>
      </c>
      <c r="B3814" s="4" t="str">
        <f>"39712022060618202299851"</f>
        <v>39712022060618202299851</v>
      </c>
      <c r="C3814" s="4" t="s">
        <v>28</v>
      </c>
      <c r="D3814" s="4" t="str">
        <f>"吴心玉"</f>
        <v>吴心玉</v>
      </c>
      <c r="E3814" s="4" t="str">
        <f t="shared" si="148"/>
        <v>女</v>
      </c>
    </row>
    <row r="3815" spans="1:5" ht="30" customHeight="1">
      <c r="A3815" s="4">
        <v>3813</v>
      </c>
      <c r="B3815" s="4" t="str">
        <f>"39712022060618245899881"</f>
        <v>39712022060618245899881</v>
      </c>
      <c r="C3815" s="4" t="s">
        <v>28</v>
      </c>
      <c r="D3815" s="4" t="str">
        <f>"陈全庆"</f>
        <v>陈全庆</v>
      </c>
      <c r="E3815" s="4" t="str">
        <f t="shared" si="148"/>
        <v>女</v>
      </c>
    </row>
    <row r="3816" spans="1:5" ht="30" customHeight="1">
      <c r="A3816" s="4">
        <v>3814</v>
      </c>
      <c r="B3816" s="4" t="str">
        <f>"39712022060618283799911"</f>
        <v>39712022060618283799911</v>
      </c>
      <c r="C3816" s="4" t="s">
        <v>28</v>
      </c>
      <c r="D3816" s="4" t="str">
        <f>"吴燕转"</f>
        <v>吴燕转</v>
      </c>
      <c r="E3816" s="4" t="str">
        <f t="shared" si="148"/>
        <v>女</v>
      </c>
    </row>
    <row r="3817" spans="1:5" ht="30" customHeight="1">
      <c r="A3817" s="4">
        <v>3815</v>
      </c>
      <c r="B3817" s="4" t="str">
        <f>"39712022060618295799922"</f>
        <v>39712022060618295799922</v>
      </c>
      <c r="C3817" s="4" t="s">
        <v>28</v>
      </c>
      <c r="D3817" s="4" t="str">
        <f>"李鑫悦"</f>
        <v>李鑫悦</v>
      </c>
      <c r="E3817" s="4" t="str">
        <f t="shared" si="148"/>
        <v>女</v>
      </c>
    </row>
    <row r="3818" spans="1:5" ht="30" customHeight="1">
      <c r="A3818" s="4">
        <v>3816</v>
      </c>
      <c r="B3818" s="4" t="str">
        <f>"397120220606184323100036"</f>
        <v>397120220606184323100036</v>
      </c>
      <c r="C3818" s="4" t="s">
        <v>28</v>
      </c>
      <c r="D3818" s="4" t="str">
        <f>"杨小丹"</f>
        <v>杨小丹</v>
      </c>
      <c r="E3818" s="4" t="str">
        <f t="shared" si="148"/>
        <v>女</v>
      </c>
    </row>
    <row r="3819" spans="1:5" ht="30" customHeight="1">
      <c r="A3819" s="4">
        <v>3817</v>
      </c>
      <c r="B3819" s="4" t="str">
        <f>"397120220606184709100061"</f>
        <v>397120220606184709100061</v>
      </c>
      <c r="C3819" s="4" t="s">
        <v>28</v>
      </c>
      <c r="D3819" s="4" t="str">
        <f>"梁春汝"</f>
        <v>梁春汝</v>
      </c>
      <c r="E3819" s="4" t="str">
        <f t="shared" si="148"/>
        <v>女</v>
      </c>
    </row>
    <row r="3820" spans="1:5" ht="30" customHeight="1">
      <c r="A3820" s="4">
        <v>3818</v>
      </c>
      <c r="B3820" s="4" t="str">
        <f>"397120220606184730100063"</f>
        <v>397120220606184730100063</v>
      </c>
      <c r="C3820" s="4" t="s">
        <v>28</v>
      </c>
      <c r="D3820" s="4" t="str">
        <f>"郭玲珠"</f>
        <v>郭玲珠</v>
      </c>
      <c r="E3820" s="4" t="str">
        <f t="shared" si="148"/>
        <v>女</v>
      </c>
    </row>
    <row r="3821" spans="1:5" ht="30" customHeight="1">
      <c r="A3821" s="4">
        <v>3819</v>
      </c>
      <c r="B3821" s="4" t="str">
        <f>"397120220606184925100078"</f>
        <v>397120220606184925100078</v>
      </c>
      <c r="C3821" s="4" t="s">
        <v>28</v>
      </c>
      <c r="D3821" s="4" t="str">
        <f>"王燕娥"</f>
        <v>王燕娥</v>
      </c>
      <c r="E3821" s="4" t="str">
        <f t="shared" si="148"/>
        <v>女</v>
      </c>
    </row>
    <row r="3822" spans="1:5" ht="30" customHeight="1">
      <c r="A3822" s="4">
        <v>3820</v>
      </c>
      <c r="B3822" s="4" t="str">
        <f>"397120220606185139100096"</f>
        <v>397120220606185139100096</v>
      </c>
      <c r="C3822" s="4" t="s">
        <v>28</v>
      </c>
      <c r="D3822" s="4" t="str">
        <f>"王璐瑶"</f>
        <v>王璐瑶</v>
      </c>
      <c r="E3822" s="4" t="str">
        <f t="shared" si="148"/>
        <v>女</v>
      </c>
    </row>
    <row r="3823" spans="1:5" ht="30" customHeight="1">
      <c r="A3823" s="4">
        <v>3821</v>
      </c>
      <c r="B3823" s="4" t="str">
        <f>"397120220606185216100104"</f>
        <v>397120220606185216100104</v>
      </c>
      <c r="C3823" s="4" t="s">
        <v>28</v>
      </c>
      <c r="D3823" s="4" t="str">
        <f>"谢慧"</f>
        <v>谢慧</v>
      </c>
      <c r="E3823" s="4" t="str">
        <f t="shared" si="148"/>
        <v>女</v>
      </c>
    </row>
    <row r="3824" spans="1:5" ht="30" customHeight="1">
      <c r="A3824" s="4">
        <v>3822</v>
      </c>
      <c r="B3824" s="4" t="str">
        <f>"397120220606185226100106"</f>
        <v>397120220606185226100106</v>
      </c>
      <c r="C3824" s="4" t="s">
        <v>28</v>
      </c>
      <c r="D3824" s="4" t="str">
        <f>"李祥梦"</f>
        <v>李祥梦</v>
      </c>
      <c r="E3824" s="4" t="str">
        <f t="shared" si="148"/>
        <v>女</v>
      </c>
    </row>
    <row r="3825" spans="1:5" ht="30" customHeight="1">
      <c r="A3825" s="4">
        <v>3823</v>
      </c>
      <c r="B3825" s="4" t="str">
        <f>"397120220606185731100156"</f>
        <v>397120220606185731100156</v>
      </c>
      <c r="C3825" s="4" t="s">
        <v>28</v>
      </c>
      <c r="D3825" s="4" t="str">
        <f>"陈丽晶"</f>
        <v>陈丽晶</v>
      </c>
      <c r="E3825" s="4" t="str">
        <f t="shared" si="148"/>
        <v>女</v>
      </c>
    </row>
    <row r="3826" spans="1:5" ht="30" customHeight="1">
      <c r="A3826" s="4">
        <v>3824</v>
      </c>
      <c r="B3826" s="4" t="str">
        <f>"397120220606190410100206"</f>
        <v>397120220606190410100206</v>
      </c>
      <c r="C3826" s="4" t="s">
        <v>28</v>
      </c>
      <c r="D3826" s="4" t="str">
        <f>"张启欣"</f>
        <v>张启欣</v>
      </c>
      <c r="E3826" s="4" t="str">
        <f>"男"</f>
        <v>男</v>
      </c>
    </row>
    <row r="3827" spans="1:5" ht="30" customHeight="1">
      <c r="A3827" s="4">
        <v>3825</v>
      </c>
      <c r="B3827" s="4" t="str">
        <f>"397120220606190601100223"</f>
        <v>397120220606190601100223</v>
      </c>
      <c r="C3827" s="4" t="s">
        <v>28</v>
      </c>
      <c r="D3827" s="4" t="str">
        <f>"韩秋月"</f>
        <v>韩秋月</v>
      </c>
      <c r="E3827" s="4" t="str">
        <f aca="true" t="shared" si="149" ref="E3827:E3847">"女"</f>
        <v>女</v>
      </c>
    </row>
    <row r="3828" spans="1:5" ht="30" customHeight="1">
      <c r="A3828" s="4">
        <v>3826</v>
      </c>
      <c r="B3828" s="4" t="str">
        <f>"397120220606191308100276"</f>
        <v>397120220606191308100276</v>
      </c>
      <c r="C3828" s="4" t="s">
        <v>28</v>
      </c>
      <c r="D3828" s="4" t="str">
        <f>"王惠"</f>
        <v>王惠</v>
      </c>
      <c r="E3828" s="4" t="str">
        <f t="shared" si="149"/>
        <v>女</v>
      </c>
    </row>
    <row r="3829" spans="1:5" ht="30" customHeight="1">
      <c r="A3829" s="4">
        <v>3827</v>
      </c>
      <c r="B3829" s="4" t="str">
        <f>"397120220606191723100303"</f>
        <v>397120220606191723100303</v>
      </c>
      <c r="C3829" s="4" t="s">
        <v>28</v>
      </c>
      <c r="D3829" s="4" t="str">
        <f>"黎世湄"</f>
        <v>黎世湄</v>
      </c>
      <c r="E3829" s="4" t="str">
        <f t="shared" si="149"/>
        <v>女</v>
      </c>
    </row>
    <row r="3830" spans="1:5" ht="30" customHeight="1">
      <c r="A3830" s="4">
        <v>3828</v>
      </c>
      <c r="B3830" s="4" t="str">
        <f>"397120220606192126100327"</f>
        <v>397120220606192126100327</v>
      </c>
      <c r="C3830" s="4" t="s">
        <v>28</v>
      </c>
      <c r="D3830" s="4" t="str">
        <f>"史佳丽"</f>
        <v>史佳丽</v>
      </c>
      <c r="E3830" s="4" t="str">
        <f t="shared" si="149"/>
        <v>女</v>
      </c>
    </row>
    <row r="3831" spans="1:5" ht="30" customHeight="1">
      <c r="A3831" s="4">
        <v>3829</v>
      </c>
      <c r="B3831" s="4" t="str">
        <f>"397120220606192446100354"</f>
        <v>397120220606192446100354</v>
      </c>
      <c r="C3831" s="4" t="s">
        <v>28</v>
      </c>
      <c r="D3831" s="4" t="str">
        <f>"李倩"</f>
        <v>李倩</v>
      </c>
      <c r="E3831" s="4" t="str">
        <f t="shared" si="149"/>
        <v>女</v>
      </c>
    </row>
    <row r="3832" spans="1:5" ht="30" customHeight="1">
      <c r="A3832" s="4">
        <v>3830</v>
      </c>
      <c r="B3832" s="4" t="str">
        <f>"397120220606192924100404"</f>
        <v>397120220606192924100404</v>
      </c>
      <c r="C3832" s="4" t="s">
        <v>28</v>
      </c>
      <c r="D3832" s="4" t="str">
        <f>"薛冬萍"</f>
        <v>薛冬萍</v>
      </c>
      <c r="E3832" s="4" t="str">
        <f t="shared" si="149"/>
        <v>女</v>
      </c>
    </row>
    <row r="3833" spans="1:5" ht="30" customHeight="1">
      <c r="A3833" s="4">
        <v>3831</v>
      </c>
      <c r="B3833" s="4" t="str">
        <f>"397120220606192935100406"</f>
        <v>397120220606192935100406</v>
      </c>
      <c r="C3833" s="4" t="s">
        <v>28</v>
      </c>
      <c r="D3833" s="4" t="str">
        <f>"陈红如"</f>
        <v>陈红如</v>
      </c>
      <c r="E3833" s="4" t="str">
        <f t="shared" si="149"/>
        <v>女</v>
      </c>
    </row>
    <row r="3834" spans="1:5" ht="30" customHeight="1">
      <c r="A3834" s="4">
        <v>3832</v>
      </c>
      <c r="B3834" s="4" t="str">
        <f>"397120220606193715100465"</f>
        <v>397120220606193715100465</v>
      </c>
      <c r="C3834" s="4" t="s">
        <v>28</v>
      </c>
      <c r="D3834" s="4" t="str">
        <f>"徐弯弯"</f>
        <v>徐弯弯</v>
      </c>
      <c r="E3834" s="4" t="str">
        <f t="shared" si="149"/>
        <v>女</v>
      </c>
    </row>
    <row r="3835" spans="1:5" ht="30" customHeight="1">
      <c r="A3835" s="4">
        <v>3833</v>
      </c>
      <c r="B3835" s="4" t="str">
        <f>"397120220606193834100472"</f>
        <v>397120220606193834100472</v>
      </c>
      <c r="C3835" s="4" t="s">
        <v>28</v>
      </c>
      <c r="D3835" s="4" t="str">
        <f>"宋丽丽"</f>
        <v>宋丽丽</v>
      </c>
      <c r="E3835" s="4" t="str">
        <f t="shared" si="149"/>
        <v>女</v>
      </c>
    </row>
    <row r="3836" spans="1:5" ht="30" customHeight="1">
      <c r="A3836" s="4">
        <v>3834</v>
      </c>
      <c r="B3836" s="4" t="str">
        <f>"397120220606194859100551"</f>
        <v>397120220606194859100551</v>
      </c>
      <c r="C3836" s="4" t="s">
        <v>28</v>
      </c>
      <c r="D3836" s="4" t="str">
        <f>"张宁"</f>
        <v>张宁</v>
      </c>
      <c r="E3836" s="4" t="str">
        <f t="shared" si="149"/>
        <v>女</v>
      </c>
    </row>
    <row r="3837" spans="1:5" ht="30" customHeight="1">
      <c r="A3837" s="4">
        <v>3835</v>
      </c>
      <c r="B3837" s="4" t="str">
        <f>"397120220606195739100630"</f>
        <v>397120220606195739100630</v>
      </c>
      <c r="C3837" s="4" t="s">
        <v>28</v>
      </c>
      <c r="D3837" s="4" t="str">
        <f>"伍虹霖"</f>
        <v>伍虹霖</v>
      </c>
      <c r="E3837" s="4" t="str">
        <f t="shared" si="149"/>
        <v>女</v>
      </c>
    </row>
    <row r="3838" spans="1:5" ht="30" customHeight="1">
      <c r="A3838" s="4">
        <v>3836</v>
      </c>
      <c r="B3838" s="4" t="str">
        <f>"397120220606200358100677"</f>
        <v>397120220606200358100677</v>
      </c>
      <c r="C3838" s="4" t="s">
        <v>28</v>
      </c>
      <c r="D3838" s="4" t="str">
        <f>"颜光漫"</f>
        <v>颜光漫</v>
      </c>
      <c r="E3838" s="4" t="str">
        <f t="shared" si="149"/>
        <v>女</v>
      </c>
    </row>
    <row r="3839" spans="1:5" ht="30" customHeight="1">
      <c r="A3839" s="4">
        <v>3837</v>
      </c>
      <c r="B3839" s="4" t="str">
        <f>"397120220606200416100680"</f>
        <v>397120220606200416100680</v>
      </c>
      <c r="C3839" s="4" t="s">
        <v>28</v>
      </c>
      <c r="D3839" s="4" t="str">
        <f>"陈熙文"</f>
        <v>陈熙文</v>
      </c>
      <c r="E3839" s="4" t="str">
        <f t="shared" si="149"/>
        <v>女</v>
      </c>
    </row>
    <row r="3840" spans="1:5" ht="30" customHeight="1">
      <c r="A3840" s="4">
        <v>3838</v>
      </c>
      <c r="B3840" s="4" t="str">
        <f>"397120220606200510100687"</f>
        <v>397120220606200510100687</v>
      </c>
      <c r="C3840" s="4" t="s">
        <v>28</v>
      </c>
      <c r="D3840" s="4" t="str">
        <f>"郑燕桂"</f>
        <v>郑燕桂</v>
      </c>
      <c r="E3840" s="4" t="str">
        <f t="shared" si="149"/>
        <v>女</v>
      </c>
    </row>
    <row r="3841" spans="1:5" ht="30" customHeight="1">
      <c r="A3841" s="4">
        <v>3839</v>
      </c>
      <c r="B3841" s="4" t="str">
        <f>"397120220606200731100710"</f>
        <v>397120220606200731100710</v>
      </c>
      <c r="C3841" s="4" t="s">
        <v>28</v>
      </c>
      <c r="D3841" s="4" t="str">
        <f>"陈丽雯"</f>
        <v>陈丽雯</v>
      </c>
      <c r="E3841" s="4" t="str">
        <f t="shared" si="149"/>
        <v>女</v>
      </c>
    </row>
    <row r="3842" spans="1:5" ht="30" customHeight="1">
      <c r="A3842" s="4">
        <v>3840</v>
      </c>
      <c r="B3842" s="4" t="str">
        <f>"397120220606201020100730"</f>
        <v>397120220606201020100730</v>
      </c>
      <c r="C3842" s="4" t="s">
        <v>28</v>
      </c>
      <c r="D3842" s="4" t="str">
        <f>"邢增菊"</f>
        <v>邢增菊</v>
      </c>
      <c r="E3842" s="4" t="str">
        <f t="shared" si="149"/>
        <v>女</v>
      </c>
    </row>
    <row r="3843" spans="1:5" ht="30" customHeight="1">
      <c r="A3843" s="4">
        <v>3841</v>
      </c>
      <c r="B3843" s="4" t="str">
        <f>"397120220606201152100742"</f>
        <v>397120220606201152100742</v>
      </c>
      <c r="C3843" s="4" t="s">
        <v>28</v>
      </c>
      <c r="D3843" s="4" t="str">
        <f>"符雪珍"</f>
        <v>符雪珍</v>
      </c>
      <c r="E3843" s="4" t="str">
        <f t="shared" si="149"/>
        <v>女</v>
      </c>
    </row>
    <row r="3844" spans="1:5" ht="30" customHeight="1">
      <c r="A3844" s="4">
        <v>3842</v>
      </c>
      <c r="B3844" s="4" t="str">
        <f>"397120220606201222100746"</f>
        <v>397120220606201222100746</v>
      </c>
      <c r="C3844" s="4" t="s">
        <v>28</v>
      </c>
      <c r="D3844" s="4" t="str">
        <f>"王斐"</f>
        <v>王斐</v>
      </c>
      <c r="E3844" s="4" t="str">
        <f t="shared" si="149"/>
        <v>女</v>
      </c>
    </row>
    <row r="3845" spans="1:5" ht="30" customHeight="1">
      <c r="A3845" s="4">
        <v>3843</v>
      </c>
      <c r="B3845" s="4" t="str">
        <f>"397120220606201359100768"</f>
        <v>397120220606201359100768</v>
      </c>
      <c r="C3845" s="4" t="s">
        <v>28</v>
      </c>
      <c r="D3845" s="4" t="str">
        <f>"吴少玲"</f>
        <v>吴少玲</v>
      </c>
      <c r="E3845" s="4" t="str">
        <f t="shared" si="149"/>
        <v>女</v>
      </c>
    </row>
    <row r="3846" spans="1:5" ht="30" customHeight="1">
      <c r="A3846" s="4">
        <v>3844</v>
      </c>
      <c r="B3846" s="4" t="str">
        <f>"397120220606201641100788"</f>
        <v>397120220606201641100788</v>
      </c>
      <c r="C3846" s="4" t="s">
        <v>28</v>
      </c>
      <c r="D3846" s="4" t="str">
        <f>"方琼粒"</f>
        <v>方琼粒</v>
      </c>
      <c r="E3846" s="4" t="str">
        <f t="shared" si="149"/>
        <v>女</v>
      </c>
    </row>
    <row r="3847" spans="1:5" ht="30" customHeight="1">
      <c r="A3847" s="4">
        <v>3845</v>
      </c>
      <c r="B3847" s="4" t="str">
        <f>"397120220606201838100798"</f>
        <v>397120220606201838100798</v>
      </c>
      <c r="C3847" s="4" t="s">
        <v>28</v>
      </c>
      <c r="D3847" s="4" t="str">
        <f>"丛新"</f>
        <v>丛新</v>
      </c>
      <c r="E3847" s="4" t="str">
        <f t="shared" si="149"/>
        <v>女</v>
      </c>
    </row>
    <row r="3848" spans="1:5" ht="30" customHeight="1">
      <c r="A3848" s="4">
        <v>3846</v>
      </c>
      <c r="B3848" s="4" t="str">
        <f>"397120220606202019100815"</f>
        <v>397120220606202019100815</v>
      </c>
      <c r="C3848" s="4" t="s">
        <v>28</v>
      </c>
      <c r="D3848" s="4" t="str">
        <f>"王世国"</f>
        <v>王世国</v>
      </c>
      <c r="E3848" s="4" t="str">
        <f>"男"</f>
        <v>男</v>
      </c>
    </row>
    <row r="3849" spans="1:5" ht="30" customHeight="1">
      <c r="A3849" s="4">
        <v>3847</v>
      </c>
      <c r="B3849" s="4" t="str">
        <f>"397120220606202435100860"</f>
        <v>397120220606202435100860</v>
      </c>
      <c r="C3849" s="4" t="s">
        <v>28</v>
      </c>
      <c r="D3849" s="4" t="str">
        <f>"符莉婵"</f>
        <v>符莉婵</v>
      </c>
      <c r="E3849" s="4" t="str">
        <f aca="true" t="shared" si="150" ref="E3849:E3912">"女"</f>
        <v>女</v>
      </c>
    </row>
    <row r="3850" spans="1:5" ht="30" customHeight="1">
      <c r="A3850" s="4">
        <v>3848</v>
      </c>
      <c r="B3850" s="4" t="str">
        <f>"397120220606202809100880"</f>
        <v>397120220606202809100880</v>
      </c>
      <c r="C3850" s="4" t="s">
        <v>28</v>
      </c>
      <c r="D3850" s="4" t="str">
        <f>"李海珍"</f>
        <v>李海珍</v>
      </c>
      <c r="E3850" s="4" t="str">
        <f t="shared" si="150"/>
        <v>女</v>
      </c>
    </row>
    <row r="3851" spans="1:5" ht="30" customHeight="1">
      <c r="A3851" s="4">
        <v>3849</v>
      </c>
      <c r="B3851" s="4" t="str">
        <f>"397120220606202851100886"</f>
        <v>397120220606202851100886</v>
      </c>
      <c r="C3851" s="4" t="s">
        <v>28</v>
      </c>
      <c r="D3851" s="4" t="str">
        <f>"罗丹"</f>
        <v>罗丹</v>
      </c>
      <c r="E3851" s="4" t="str">
        <f t="shared" si="150"/>
        <v>女</v>
      </c>
    </row>
    <row r="3852" spans="1:5" ht="30" customHeight="1">
      <c r="A3852" s="4">
        <v>3850</v>
      </c>
      <c r="B3852" s="4" t="str">
        <f>"397120220606203039100904"</f>
        <v>397120220606203039100904</v>
      </c>
      <c r="C3852" s="4" t="s">
        <v>28</v>
      </c>
      <c r="D3852" s="4" t="str">
        <f>"王丹"</f>
        <v>王丹</v>
      </c>
      <c r="E3852" s="4" t="str">
        <f t="shared" si="150"/>
        <v>女</v>
      </c>
    </row>
    <row r="3853" spans="1:5" ht="30" customHeight="1">
      <c r="A3853" s="4">
        <v>3851</v>
      </c>
      <c r="B3853" s="4" t="str">
        <f>"397120220606203306100926"</f>
        <v>397120220606203306100926</v>
      </c>
      <c r="C3853" s="4" t="s">
        <v>28</v>
      </c>
      <c r="D3853" s="4" t="str">
        <f>"李颜如"</f>
        <v>李颜如</v>
      </c>
      <c r="E3853" s="4" t="str">
        <f t="shared" si="150"/>
        <v>女</v>
      </c>
    </row>
    <row r="3854" spans="1:5" ht="30" customHeight="1">
      <c r="A3854" s="4">
        <v>3852</v>
      </c>
      <c r="B3854" s="4" t="str">
        <f>"397120220606203528100945"</f>
        <v>397120220606203528100945</v>
      </c>
      <c r="C3854" s="4" t="s">
        <v>28</v>
      </c>
      <c r="D3854" s="4" t="str">
        <f>"廖雯丽"</f>
        <v>廖雯丽</v>
      </c>
      <c r="E3854" s="4" t="str">
        <f t="shared" si="150"/>
        <v>女</v>
      </c>
    </row>
    <row r="3855" spans="1:5" ht="30" customHeight="1">
      <c r="A3855" s="4">
        <v>3853</v>
      </c>
      <c r="B3855" s="4" t="str">
        <f>"397120220606203540100946"</f>
        <v>397120220606203540100946</v>
      </c>
      <c r="C3855" s="4" t="s">
        <v>28</v>
      </c>
      <c r="D3855" s="4" t="str">
        <f>"陈菊妃"</f>
        <v>陈菊妃</v>
      </c>
      <c r="E3855" s="4" t="str">
        <f t="shared" si="150"/>
        <v>女</v>
      </c>
    </row>
    <row r="3856" spans="1:5" ht="30" customHeight="1">
      <c r="A3856" s="4">
        <v>3854</v>
      </c>
      <c r="B3856" s="4" t="str">
        <f>"397120220606204328101002"</f>
        <v>397120220606204328101002</v>
      </c>
      <c r="C3856" s="4" t="s">
        <v>28</v>
      </c>
      <c r="D3856" s="4" t="str">
        <f>"王秋玲"</f>
        <v>王秋玲</v>
      </c>
      <c r="E3856" s="4" t="str">
        <f t="shared" si="150"/>
        <v>女</v>
      </c>
    </row>
    <row r="3857" spans="1:5" ht="30" customHeight="1">
      <c r="A3857" s="4">
        <v>3855</v>
      </c>
      <c r="B3857" s="4" t="str">
        <f>"397120220606204356101006"</f>
        <v>397120220606204356101006</v>
      </c>
      <c r="C3857" s="4" t="s">
        <v>28</v>
      </c>
      <c r="D3857" s="4" t="str">
        <f>"李雪冰"</f>
        <v>李雪冰</v>
      </c>
      <c r="E3857" s="4" t="str">
        <f t="shared" si="150"/>
        <v>女</v>
      </c>
    </row>
    <row r="3858" spans="1:5" ht="30" customHeight="1">
      <c r="A3858" s="4">
        <v>3856</v>
      </c>
      <c r="B3858" s="4" t="str">
        <f>"397120220606204521101020"</f>
        <v>397120220606204521101020</v>
      </c>
      <c r="C3858" s="4" t="s">
        <v>28</v>
      </c>
      <c r="D3858" s="4" t="str">
        <f>"何怡"</f>
        <v>何怡</v>
      </c>
      <c r="E3858" s="4" t="str">
        <f t="shared" si="150"/>
        <v>女</v>
      </c>
    </row>
    <row r="3859" spans="1:5" ht="30" customHeight="1">
      <c r="A3859" s="4">
        <v>3857</v>
      </c>
      <c r="B3859" s="4" t="str">
        <f>"397120220606204531101022"</f>
        <v>397120220606204531101022</v>
      </c>
      <c r="C3859" s="4" t="s">
        <v>28</v>
      </c>
      <c r="D3859" s="4" t="str">
        <f>"陈思宇"</f>
        <v>陈思宇</v>
      </c>
      <c r="E3859" s="4" t="str">
        <f t="shared" si="150"/>
        <v>女</v>
      </c>
    </row>
    <row r="3860" spans="1:5" ht="30" customHeight="1">
      <c r="A3860" s="4">
        <v>3858</v>
      </c>
      <c r="B3860" s="4" t="str">
        <f>"397120220606205331101088"</f>
        <v>397120220606205331101088</v>
      </c>
      <c r="C3860" s="4" t="s">
        <v>28</v>
      </c>
      <c r="D3860" s="4" t="str">
        <f>"徐怡"</f>
        <v>徐怡</v>
      </c>
      <c r="E3860" s="4" t="str">
        <f t="shared" si="150"/>
        <v>女</v>
      </c>
    </row>
    <row r="3861" spans="1:5" ht="30" customHeight="1">
      <c r="A3861" s="4">
        <v>3859</v>
      </c>
      <c r="B3861" s="4" t="str">
        <f>"397120220606205413101093"</f>
        <v>397120220606205413101093</v>
      </c>
      <c r="C3861" s="4" t="s">
        <v>28</v>
      </c>
      <c r="D3861" s="4" t="str">
        <f>"杨依妮"</f>
        <v>杨依妮</v>
      </c>
      <c r="E3861" s="4" t="str">
        <f t="shared" si="150"/>
        <v>女</v>
      </c>
    </row>
    <row r="3862" spans="1:5" ht="30" customHeight="1">
      <c r="A3862" s="4">
        <v>3860</v>
      </c>
      <c r="B3862" s="4" t="str">
        <f>"397120220606205442101102"</f>
        <v>397120220606205442101102</v>
      </c>
      <c r="C3862" s="4" t="s">
        <v>28</v>
      </c>
      <c r="D3862" s="4" t="str">
        <f>"王素南"</f>
        <v>王素南</v>
      </c>
      <c r="E3862" s="4" t="str">
        <f t="shared" si="150"/>
        <v>女</v>
      </c>
    </row>
    <row r="3863" spans="1:5" ht="30" customHeight="1">
      <c r="A3863" s="4">
        <v>3861</v>
      </c>
      <c r="B3863" s="4" t="str">
        <f>"397120220606210216101163"</f>
        <v>397120220606210216101163</v>
      </c>
      <c r="C3863" s="4" t="s">
        <v>28</v>
      </c>
      <c r="D3863" s="4" t="str">
        <f>"李永梅"</f>
        <v>李永梅</v>
      </c>
      <c r="E3863" s="4" t="str">
        <f t="shared" si="150"/>
        <v>女</v>
      </c>
    </row>
    <row r="3864" spans="1:5" ht="30" customHeight="1">
      <c r="A3864" s="4">
        <v>3862</v>
      </c>
      <c r="B3864" s="4" t="str">
        <f>"397120220606210229101166"</f>
        <v>397120220606210229101166</v>
      </c>
      <c r="C3864" s="4" t="s">
        <v>28</v>
      </c>
      <c r="D3864" s="4" t="str">
        <f>"韩嫚"</f>
        <v>韩嫚</v>
      </c>
      <c r="E3864" s="4" t="str">
        <f t="shared" si="150"/>
        <v>女</v>
      </c>
    </row>
    <row r="3865" spans="1:5" ht="30" customHeight="1">
      <c r="A3865" s="4">
        <v>3863</v>
      </c>
      <c r="B3865" s="4" t="str">
        <f>"397120220606210430101180"</f>
        <v>397120220606210430101180</v>
      </c>
      <c r="C3865" s="4" t="s">
        <v>28</v>
      </c>
      <c r="D3865" s="4" t="str">
        <f>"唐岸"</f>
        <v>唐岸</v>
      </c>
      <c r="E3865" s="4" t="str">
        <f t="shared" si="150"/>
        <v>女</v>
      </c>
    </row>
    <row r="3866" spans="1:5" ht="30" customHeight="1">
      <c r="A3866" s="4">
        <v>3864</v>
      </c>
      <c r="B3866" s="4" t="str">
        <f>"397120220606210529101188"</f>
        <v>397120220606210529101188</v>
      </c>
      <c r="C3866" s="4" t="s">
        <v>28</v>
      </c>
      <c r="D3866" s="4" t="str">
        <f>"朱振娟"</f>
        <v>朱振娟</v>
      </c>
      <c r="E3866" s="4" t="str">
        <f t="shared" si="150"/>
        <v>女</v>
      </c>
    </row>
    <row r="3867" spans="1:5" ht="30" customHeight="1">
      <c r="A3867" s="4">
        <v>3865</v>
      </c>
      <c r="B3867" s="4" t="str">
        <f>"397120220606210758101214"</f>
        <v>397120220606210758101214</v>
      </c>
      <c r="C3867" s="4" t="s">
        <v>28</v>
      </c>
      <c r="D3867" s="4" t="str">
        <f>"黎万霞"</f>
        <v>黎万霞</v>
      </c>
      <c r="E3867" s="4" t="str">
        <f t="shared" si="150"/>
        <v>女</v>
      </c>
    </row>
    <row r="3868" spans="1:5" ht="30" customHeight="1">
      <c r="A3868" s="4">
        <v>3866</v>
      </c>
      <c r="B3868" s="4" t="str">
        <f>"397120220606210829101220"</f>
        <v>397120220606210829101220</v>
      </c>
      <c r="C3868" s="4" t="s">
        <v>28</v>
      </c>
      <c r="D3868" s="4" t="str">
        <f>"邝小艳"</f>
        <v>邝小艳</v>
      </c>
      <c r="E3868" s="4" t="str">
        <f t="shared" si="150"/>
        <v>女</v>
      </c>
    </row>
    <row r="3869" spans="1:5" ht="30" customHeight="1">
      <c r="A3869" s="4">
        <v>3867</v>
      </c>
      <c r="B3869" s="4" t="str">
        <f>"397120220606211131101246"</f>
        <v>397120220606211131101246</v>
      </c>
      <c r="C3869" s="4" t="s">
        <v>28</v>
      </c>
      <c r="D3869" s="4" t="str">
        <f>"郑萍"</f>
        <v>郑萍</v>
      </c>
      <c r="E3869" s="4" t="str">
        <f t="shared" si="150"/>
        <v>女</v>
      </c>
    </row>
    <row r="3870" spans="1:5" ht="30" customHeight="1">
      <c r="A3870" s="4">
        <v>3868</v>
      </c>
      <c r="B3870" s="4" t="str">
        <f>"397120220606211607101281"</f>
        <v>397120220606211607101281</v>
      </c>
      <c r="C3870" s="4" t="s">
        <v>28</v>
      </c>
      <c r="D3870" s="4" t="str">
        <f>"钟舒怡"</f>
        <v>钟舒怡</v>
      </c>
      <c r="E3870" s="4" t="str">
        <f t="shared" si="150"/>
        <v>女</v>
      </c>
    </row>
    <row r="3871" spans="1:5" ht="30" customHeight="1">
      <c r="A3871" s="4">
        <v>3869</v>
      </c>
      <c r="B3871" s="4" t="str">
        <f>"397120220606211717101289"</f>
        <v>397120220606211717101289</v>
      </c>
      <c r="C3871" s="4" t="s">
        <v>28</v>
      </c>
      <c r="D3871" s="4" t="str">
        <f>"林彩芬"</f>
        <v>林彩芬</v>
      </c>
      <c r="E3871" s="4" t="str">
        <f t="shared" si="150"/>
        <v>女</v>
      </c>
    </row>
    <row r="3872" spans="1:5" ht="30" customHeight="1">
      <c r="A3872" s="4">
        <v>3870</v>
      </c>
      <c r="B3872" s="4" t="str">
        <f>"397120220606211939101308"</f>
        <v>397120220606211939101308</v>
      </c>
      <c r="C3872" s="4" t="s">
        <v>28</v>
      </c>
      <c r="D3872" s="4" t="str">
        <f>"卓婷婷"</f>
        <v>卓婷婷</v>
      </c>
      <c r="E3872" s="4" t="str">
        <f t="shared" si="150"/>
        <v>女</v>
      </c>
    </row>
    <row r="3873" spans="1:5" ht="30" customHeight="1">
      <c r="A3873" s="4">
        <v>3871</v>
      </c>
      <c r="B3873" s="4" t="str">
        <f>"397120220606212208101328"</f>
        <v>397120220606212208101328</v>
      </c>
      <c r="C3873" s="4" t="s">
        <v>28</v>
      </c>
      <c r="D3873" s="4" t="str">
        <f>"李佳滢"</f>
        <v>李佳滢</v>
      </c>
      <c r="E3873" s="4" t="str">
        <f t="shared" si="150"/>
        <v>女</v>
      </c>
    </row>
    <row r="3874" spans="1:5" ht="30" customHeight="1">
      <c r="A3874" s="4">
        <v>3872</v>
      </c>
      <c r="B3874" s="4" t="str">
        <f>"397120220606212218101330"</f>
        <v>397120220606212218101330</v>
      </c>
      <c r="C3874" s="4" t="s">
        <v>28</v>
      </c>
      <c r="D3874" s="4" t="str">
        <f>"潘倩倩"</f>
        <v>潘倩倩</v>
      </c>
      <c r="E3874" s="4" t="str">
        <f t="shared" si="150"/>
        <v>女</v>
      </c>
    </row>
    <row r="3875" spans="1:5" ht="30" customHeight="1">
      <c r="A3875" s="4">
        <v>3873</v>
      </c>
      <c r="B3875" s="4" t="str">
        <f>"397120220606213510101380"</f>
        <v>397120220606213510101380</v>
      </c>
      <c r="C3875" s="4" t="s">
        <v>28</v>
      </c>
      <c r="D3875" s="4" t="str">
        <f>"陈诗婷"</f>
        <v>陈诗婷</v>
      </c>
      <c r="E3875" s="4" t="str">
        <f t="shared" si="150"/>
        <v>女</v>
      </c>
    </row>
    <row r="3876" spans="1:5" ht="30" customHeight="1">
      <c r="A3876" s="4">
        <v>3874</v>
      </c>
      <c r="B3876" s="4" t="str">
        <f>"397120220606213606101386"</f>
        <v>397120220606213606101386</v>
      </c>
      <c r="C3876" s="4" t="s">
        <v>28</v>
      </c>
      <c r="D3876" s="4" t="str">
        <f>"陈露茜"</f>
        <v>陈露茜</v>
      </c>
      <c r="E3876" s="4" t="str">
        <f t="shared" si="150"/>
        <v>女</v>
      </c>
    </row>
    <row r="3877" spans="1:5" ht="30" customHeight="1">
      <c r="A3877" s="4">
        <v>3875</v>
      </c>
      <c r="B3877" s="4" t="str">
        <f>"397120220606213631101394"</f>
        <v>397120220606213631101394</v>
      </c>
      <c r="C3877" s="4" t="s">
        <v>28</v>
      </c>
      <c r="D3877" s="4" t="str">
        <f>"杨蒴"</f>
        <v>杨蒴</v>
      </c>
      <c r="E3877" s="4" t="str">
        <f t="shared" si="150"/>
        <v>女</v>
      </c>
    </row>
    <row r="3878" spans="1:5" ht="30" customHeight="1">
      <c r="A3878" s="4">
        <v>3876</v>
      </c>
      <c r="B3878" s="4" t="str">
        <f>"397120220606214128101481"</f>
        <v>397120220606214128101481</v>
      </c>
      <c r="C3878" s="4" t="s">
        <v>28</v>
      </c>
      <c r="D3878" s="4" t="str">
        <f>"余荣琴"</f>
        <v>余荣琴</v>
      </c>
      <c r="E3878" s="4" t="str">
        <f t="shared" si="150"/>
        <v>女</v>
      </c>
    </row>
    <row r="3879" spans="1:5" ht="30" customHeight="1">
      <c r="A3879" s="4">
        <v>3877</v>
      </c>
      <c r="B3879" s="4" t="str">
        <f>"397120220606214202101486"</f>
        <v>397120220606214202101486</v>
      </c>
      <c r="C3879" s="4" t="s">
        <v>28</v>
      </c>
      <c r="D3879" s="4" t="str">
        <f>"张菁洋"</f>
        <v>张菁洋</v>
      </c>
      <c r="E3879" s="4" t="str">
        <f t="shared" si="150"/>
        <v>女</v>
      </c>
    </row>
    <row r="3880" spans="1:5" ht="30" customHeight="1">
      <c r="A3880" s="4">
        <v>3878</v>
      </c>
      <c r="B3880" s="4" t="str">
        <f>"397120220606214703101537"</f>
        <v>397120220606214703101537</v>
      </c>
      <c r="C3880" s="4" t="s">
        <v>28</v>
      </c>
      <c r="D3880" s="4" t="str">
        <f>"林世萍"</f>
        <v>林世萍</v>
      </c>
      <c r="E3880" s="4" t="str">
        <f t="shared" si="150"/>
        <v>女</v>
      </c>
    </row>
    <row r="3881" spans="1:5" ht="30" customHeight="1">
      <c r="A3881" s="4">
        <v>3879</v>
      </c>
      <c r="B3881" s="4" t="str">
        <f>"397120220606214825101549"</f>
        <v>397120220606214825101549</v>
      </c>
      <c r="C3881" s="4" t="s">
        <v>28</v>
      </c>
      <c r="D3881" s="4" t="str">
        <f>"柳雨希"</f>
        <v>柳雨希</v>
      </c>
      <c r="E3881" s="4" t="str">
        <f t="shared" si="150"/>
        <v>女</v>
      </c>
    </row>
    <row r="3882" spans="1:5" ht="30" customHeight="1">
      <c r="A3882" s="4">
        <v>3880</v>
      </c>
      <c r="B3882" s="4" t="str">
        <f>"397120220606215105101571"</f>
        <v>397120220606215105101571</v>
      </c>
      <c r="C3882" s="4" t="s">
        <v>28</v>
      </c>
      <c r="D3882" s="4" t="str">
        <f>"王禄临"</f>
        <v>王禄临</v>
      </c>
      <c r="E3882" s="4" t="str">
        <f t="shared" si="150"/>
        <v>女</v>
      </c>
    </row>
    <row r="3883" spans="1:5" ht="30" customHeight="1">
      <c r="A3883" s="4">
        <v>3881</v>
      </c>
      <c r="B3883" s="4" t="str">
        <f>"397120220606215118101573"</f>
        <v>397120220606215118101573</v>
      </c>
      <c r="C3883" s="4" t="s">
        <v>28</v>
      </c>
      <c r="D3883" s="4" t="str">
        <f>"曾柳樱"</f>
        <v>曾柳樱</v>
      </c>
      <c r="E3883" s="4" t="str">
        <f t="shared" si="150"/>
        <v>女</v>
      </c>
    </row>
    <row r="3884" spans="1:5" ht="30" customHeight="1">
      <c r="A3884" s="4">
        <v>3882</v>
      </c>
      <c r="B3884" s="4" t="str">
        <f>"397120220606215515101618"</f>
        <v>397120220606215515101618</v>
      </c>
      <c r="C3884" s="4" t="s">
        <v>28</v>
      </c>
      <c r="D3884" s="4" t="str">
        <f>"周彬彬"</f>
        <v>周彬彬</v>
      </c>
      <c r="E3884" s="4" t="str">
        <f t="shared" si="150"/>
        <v>女</v>
      </c>
    </row>
    <row r="3885" spans="1:5" ht="30" customHeight="1">
      <c r="A3885" s="4">
        <v>3883</v>
      </c>
      <c r="B3885" s="4" t="str">
        <f>"397120220606215905101650"</f>
        <v>397120220606215905101650</v>
      </c>
      <c r="C3885" s="4" t="s">
        <v>28</v>
      </c>
      <c r="D3885" s="4" t="str">
        <f>"符爱仙"</f>
        <v>符爱仙</v>
      </c>
      <c r="E3885" s="4" t="str">
        <f t="shared" si="150"/>
        <v>女</v>
      </c>
    </row>
    <row r="3886" spans="1:5" ht="30" customHeight="1">
      <c r="A3886" s="4">
        <v>3884</v>
      </c>
      <c r="B3886" s="4" t="str">
        <f>"397120220606221308101793"</f>
        <v>397120220606221308101793</v>
      </c>
      <c r="C3886" s="4" t="s">
        <v>28</v>
      </c>
      <c r="D3886" s="4" t="str">
        <f>"文侨花"</f>
        <v>文侨花</v>
      </c>
      <c r="E3886" s="4" t="str">
        <f t="shared" si="150"/>
        <v>女</v>
      </c>
    </row>
    <row r="3887" spans="1:5" ht="30" customHeight="1">
      <c r="A3887" s="4">
        <v>3885</v>
      </c>
      <c r="B3887" s="4" t="str">
        <f>"397120220606222015101838"</f>
        <v>397120220606222015101838</v>
      </c>
      <c r="C3887" s="4" t="s">
        <v>28</v>
      </c>
      <c r="D3887" s="4" t="str">
        <f>"齐凌冰"</f>
        <v>齐凌冰</v>
      </c>
      <c r="E3887" s="4" t="str">
        <f t="shared" si="150"/>
        <v>女</v>
      </c>
    </row>
    <row r="3888" spans="1:5" ht="30" customHeight="1">
      <c r="A3888" s="4">
        <v>3886</v>
      </c>
      <c r="B3888" s="4" t="str">
        <f>"397120220606222144101858"</f>
        <v>397120220606222144101858</v>
      </c>
      <c r="C3888" s="4" t="s">
        <v>28</v>
      </c>
      <c r="D3888" s="4" t="str">
        <f>"唐文婕"</f>
        <v>唐文婕</v>
      </c>
      <c r="E3888" s="4" t="str">
        <f t="shared" si="150"/>
        <v>女</v>
      </c>
    </row>
    <row r="3889" spans="1:5" ht="30" customHeight="1">
      <c r="A3889" s="4">
        <v>3887</v>
      </c>
      <c r="B3889" s="4" t="str">
        <f>"397120220606222618101899"</f>
        <v>397120220606222618101899</v>
      </c>
      <c r="C3889" s="4" t="s">
        <v>28</v>
      </c>
      <c r="D3889" s="4" t="str">
        <f>"郑慧琴"</f>
        <v>郑慧琴</v>
      </c>
      <c r="E3889" s="4" t="str">
        <f t="shared" si="150"/>
        <v>女</v>
      </c>
    </row>
    <row r="3890" spans="1:5" ht="30" customHeight="1">
      <c r="A3890" s="4">
        <v>3888</v>
      </c>
      <c r="B3890" s="4" t="str">
        <f>"397120220606223157101947"</f>
        <v>397120220606223157101947</v>
      </c>
      <c r="C3890" s="4" t="s">
        <v>28</v>
      </c>
      <c r="D3890" s="4" t="str">
        <f>"姜淼"</f>
        <v>姜淼</v>
      </c>
      <c r="E3890" s="4" t="str">
        <f t="shared" si="150"/>
        <v>女</v>
      </c>
    </row>
    <row r="3891" spans="1:5" ht="30" customHeight="1">
      <c r="A3891" s="4">
        <v>3889</v>
      </c>
      <c r="B3891" s="4" t="str">
        <f>"397120220606223523101983"</f>
        <v>397120220606223523101983</v>
      </c>
      <c r="C3891" s="4" t="s">
        <v>28</v>
      </c>
      <c r="D3891" s="4" t="str">
        <f>"杨小惠"</f>
        <v>杨小惠</v>
      </c>
      <c r="E3891" s="4" t="str">
        <f t="shared" si="150"/>
        <v>女</v>
      </c>
    </row>
    <row r="3892" spans="1:5" ht="30" customHeight="1">
      <c r="A3892" s="4">
        <v>3890</v>
      </c>
      <c r="B3892" s="4" t="str">
        <f>"397120220606223742102001"</f>
        <v>397120220606223742102001</v>
      </c>
      <c r="C3892" s="4" t="s">
        <v>28</v>
      </c>
      <c r="D3892" s="4" t="str">
        <f>"陈虹瑾"</f>
        <v>陈虹瑾</v>
      </c>
      <c r="E3892" s="4" t="str">
        <f t="shared" si="150"/>
        <v>女</v>
      </c>
    </row>
    <row r="3893" spans="1:5" ht="30" customHeight="1">
      <c r="A3893" s="4">
        <v>3891</v>
      </c>
      <c r="B3893" s="4" t="str">
        <f>"397120220606224221102034"</f>
        <v>397120220606224221102034</v>
      </c>
      <c r="C3893" s="4" t="s">
        <v>28</v>
      </c>
      <c r="D3893" s="4" t="str">
        <f>"庄瑾"</f>
        <v>庄瑾</v>
      </c>
      <c r="E3893" s="4" t="str">
        <f t="shared" si="150"/>
        <v>女</v>
      </c>
    </row>
    <row r="3894" spans="1:5" ht="30" customHeight="1">
      <c r="A3894" s="4">
        <v>3892</v>
      </c>
      <c r="B3894" s="4" t="str">
        <f>"397120220606224730102080"</f>
        <v>397120220606224730102080</v>
      </c>
      <c r="C3894" s="4" t="s">
        <v>28</v>
      </c>
      <c r="D3894" s="4" t="str">
        <f>"羊俊萍"</f>
        <v>羊俊萍</v>
      </c>
      <c r="E3894" s="4" t="str">
        <f t="shared" si="150"/>
        <v>女</v>
      </c>
    </row>
    <row r="3895" spans="1:5" ht="30" customHeight="1">
      <c r="A3895" s="4">
        <v>3893</v>
      </c>
      <c r="B3895" s="4" t="str">
        <f>"397120220606225017102102"</f>
        <v>397120220606225017102102</v>
      </c>
      <c r="C3895" s="4" t="s">
        <v>28</v>
      </c>
      <c r="D3895" s="4" t="str">
        <f>"吴程燕"</f>
        <v>吴程燕</v>
      </c>
      <c r="E3895" s="4" t="str">
        <f t="shared" si="150"/>
        <v>女</v>
      </c>
    </row>
    <row r="3896" spans="1:5" ht="30" customHeight="1">
      <c r="A3896" s="4">
        <v>3894</v>
      </c>
      <c r="B3896" s="4" t="str">
        <f>"397120220606225048102106"</f>
        <v>397120220606225048102106</v>
      </c>
      <c r="C3896" s="4" t="s">
        <v>28</v>
      </c>
      <c r="D3896" s="4" t="str">
        <f>"倪靓"</f>
        <v>倪靓</v>
      </c>
      <c r="E3896" s="4" t="str">
        <f t="shared" si="150"/>
        <v>女</v>
      </c>
    </row>
    <row r="3897" spans="1:5" ht="30" customHeight="1">
      <c r="A3897" s="4">
        <v>3895</v>
      </c>
      <c r="B3897" s="4" t="str">
        <f>"397120220606225052102107"</f>
        <v>397120220606225052102107</v>
      </c>
      <c r="C3897" s="4" t="s">
        <v>28</v>
      </c>
      <c r="D3897" s="4" t="str">
        <f>"黄梦之"</f>
        <v>黄梦之</v>
      </c>
      <c r="E3897" s="4" t="str">
        <f t="shared" si="150"/>
        <v>女</v>
      </c>
    </row>
    <row r="3898" spans="1:5" ht="30" customHeight="1">
      <c r="A3898" s="4">
        <v>3896</v>
      </c>
      <c r="B3898" s="4" t="str">
        <f>"397120220606225444102124"</f>
        <v>397120220606225444102124</v>
      </c>
      <c r="C3898" s="4" t="s">
        <v>28</v>
      </c>
      <c r="D3898" s="4" t="str">
        <f>"赵艺婧"</f>
        <v>赵艺婧</v>
      </c>
      <c r="E3898" s="4" t="str">
        <f t="shared" si="150"/>
        <v>女</v>
      </c>
    </row>
    <row r="3899" spans="1:5" ht="30" customHeight="1">
      <c r="A3899" s="4">
        <v>3897</v>
      </c>
      <c r="B3899" s="4" t="str">
        <f>"397120220606230349102174"</f>
        <v>397120220606230349102174</v>
      </c>
      <c r="C3899" s="4" t="s">
        <v>28</v>
      </c>
      <c r="D3899" s="4" t="str">
        <f>"陈潇潇"</f>
        <v>陈潇潇</v>
      </c>
      <c r="E3899" s="4" t="str">
        <f t="shared" si="150"/>
        <v>女</v>
      </c>
    </row>
    <row r="3900" spans="1:5" ht="30" customHeight="1">
      <c r="A3900" s="4">
        <v>3898</v>
      </c>
      <c r="B3900" s="4" t="str">
        <f>"397120220606230446102180"</f>
        <v>397120220606230446102180</v>
      </c>
      <c r="C3900" s="4" t="s">
        <v>28</v>
      </c>
      <c r="D3900" s="4" t="str">
        <f>"陈娟"</f>
        <v>陈娟</v>
      </c>
      <c r="E3900" s="4" t="str">
        <f t="shared" si="150"/>
        <v>女</v>
      </c>
    </row>
    <row r="3901" spans="1:5" ht="30" customHeight="1">
      <c r="A3901" s="4">
        <v>3899</v>
      </c>
      <c r="B3901" s="4" t="str">
        <f>"397120220606232238102264"</f>
        <v>397120220606232238102264</v>
      </c>
      <c r="C3901" s="4" t="s">
        <v>28</v>
      </c>
      <c r="D3901" s="4" t="str">
        <f>"李京京"</f>
        <v>李京京</v>
      </c>
      <c r="E3901" s="4" t="str">
        <f t="shared" si="150"/>
        <v>女</v>
      </c>
    </row>
    <row r="3902" spans="1:5" ht="30" customHeight="1">
      <c r="A3902" s="4">
        <v>3900</v>
      </c>
      <c r="B3902" s="4" t="str">
        <f>"397120220606232910102296"</f>
        <v>397120220606232910102296</v>
      </c>
      <c r="C3902" s="4" t="s">
        <v>28</v>
      </c>
      <c r="D3902" s="4" t="str">
        <f>"陆菊玉"</f>
        <v>陆菊玉</v>
      </c>
      <c r="E3902" s="4" t="str">
        <f t="shared" si="150"/>
        <v>女</v>
      </c>
    </row>
    <row r="3903" spans="1:5" ht="30" customHeight="1">
      <c r="A3903" s="4">
        <v>3901</v>
      </c>
      <c r="B3903" s="4" t="str">
        <f>"397120220606233015102302"</f>
        <v>397120220606233015102302</v>
      </c>
      <c r="C3903" s="4" t="s">
        <v>28</v>
      </c>
      <c r="D3903" s="4" t="str">
        <f>"李月秋"</f>
        <v>李月秋</v>
      </c>
      <c r="E3903" s="4" t="str">
        <f t="shared" si="150"/>
        <v>女</v>
      </c>
    </row>
    <row r="3904" spans="1:5" ht="30" customHeight="1">
      <c r="A3904" s="4">
        <v>3902</v>
      </c>
      <c r="B3904" s="4" t="str">
        <f>"397120220606233213102310"</f>
        <v>397120220606233213102310</v>
      </c>
      <c r="C3904" s="4" t="s">
        <v>28</v>
      </c>
      <c r="D3904" s="4" t="str">
        <f>"陈雪"</f>
        <v>陈雪</v>
      </c>
      <c r="E3904" s="4" t="str">
        <f t="shared" si="150"/>
        <v>女</v>
      </c>
    </row>
    <row r="3905" spans="1:5" ht="30" customHeight="1">
      <c r="A3905" s="4">
        <v>3903</v>
      </c>
      <c r="B3905" s="4" t="str">
        <f>"397120220606233337102318"</f>
        <v>397120220606233337102318</v>
      </c>
      <c r="C3905" s="4" t="s">
        <v>28</v>
      </c>
      <c r="D3905" s="4" t="str">
        <f>"胡正果"</f>
        <v>胡正果</v>
      </c>
      <c r="E3905" s="4" t="str">
        <f t="shared" si="150"/>
        <v>女</v>
      </c>
    </row>
    <row r="3906" spans="1:5" ht="30" customHeight="1">
      <c r="A3906" s="4">
        <v>3904</v>
      </c>
      <c r="B3906" s="4" t="str">
        <f>"397120220606233348102320"</f>
        <v>397120220606233348102320</v>
      </c>
      <c r="C3906" s="4" t="s">
        <v>28</v>
      </c>
      <c r="D3906" s="4" t="str">
        <f>"吴婷婷"</f>
        <v>吴婷婷</v>
      </c>
      <c r="E3906" s="4" t="str">
        <f t="shared" si="150"/>
        <v>女</v>
      </c>
    </row>
    <row r="3907" spans="1:5" ht="30" customHeight="1">
      <c r="A3907" s="4">
        <v>3905</v>
      </c>
      <c r="B3907" s="4" t="str">
        <f>"397120220606233507102327"</f>
        <v>397120220606233507102327</v>
      </c>
      <c r="C3907" s="4" t="s">
        <v>28</v>
      </c>
      <c r="D3907" s="4" t="str">
        <f>"符晓钰"</f>
        <v>符晓钰</v>
      </c>
      <c r="E3907" s="4" t="str">
        <f t="shared" si="150"/>
        <v>女</v>
      </c>
    </row>
    <row r="3908" spans="1:5" ht="30" customHeight="1">
      <c r="A3908" s="4">
        <v>3906</v>
      </c>
      <c r="B3908" s="4" t="str">
        <f>"397120220606233626102333"</f>
        <v>397120220606233626102333</v>
      </c>
      <c r="C3908" s="4" t="s">
        <v>28</v>
      </c>
      <c r="D3908" s="4" t="str">
        <f>"陈昀昀"</f>
        <v>陈昀昀</v>
      </c>
      <c r="E3908" s="4" t="str">
        <f t="shared" si="150"/>
        <v>女</v>
      </c>
    </row>
    <row r="3909" spans="1:5" ht="30" customHeight="1">
      <c r="A3909" s="4">
        <v>3907</v>
      </c>
      <c r="B3909" s="4" t="str">
        <f>"397120220606233639102334"</f>
        <v>397120220606233639102334</v>
      </c>
      <c r="C3909" s="4" t="s">
        <v>28</v>
      </c>
      <c r="D3909" s="4" t="str">
        <f>"林凌"</f>
        <v>林凌</v>
      </c>
      <c r="E3909" s="4" t="str">
        <f t="shared" si="150"/>
        <v>女</v>
      </c>
    </row>
    <row r="3910" spans="1:5" ht="30" customHeight="1">
      <c r="A3910" s="4">
        <v>3908</v>
      </c>
      <c r="B3910" s="4" t="str">
        <f>"397120220606234900102369"</f>
        <v>397120220606234900102369</v>
      </c>
      <c r="C3910" s="4" t="s">
        <v>28</v>
      </c>
      <c r="D3910" s="4" t="str">
        <f>"邓颖茜"</f>
        <v>邓颖茜</v>
      </c>
      <c r="E3910" s="4" t="str">
        <f t="shared" si="150"/>
        <v>女</v>
      </c>
    </row>
    <row r="3911" spans="1:5" ht="30" customHeight="1">
      <c r="A3911" s="4">
        <v>3909</v>
      </c>
      <c r="B3911" s="4" t="str">
        <f>"397120220606235032102374"</f>
        <v>397120220606235032102374</v>
      </c>
      <c r="C3911" s="4" t="s">
        <v>28</v>
      </c>
      <c r="D3911" s="4" t="str">
        <f>"王晶"</f>
        <v>王晶</v>
      </c>
      <c r="E3911" s="4" t="str">
        <f t="shared" si="150"/>
        <v>女</v>
      </c>
    </row>
    <row r="3912" spans="1:5" ht="30" customHeight="1">
      <c r="A3912" s="4">
        <v>3910</v>
      </c>
      <c r="B3912" s="4" t="str">
        <f>"397120220606235439102387"</f>
        <v>397120220606235439102387</v>
      </c>
      <c r="C3912" s="4" t="s">
        <v>28</v>
      </c>
      <c r="D3912" s="4" t="str">
        <f>"梁颖"</f>
        <v>梁颖</v>
      </c>
      <c r="E3912" s="4" t="str">
        <f t="shared" si="150"/>
        <v>女</v>
      </c>
    </row>
    <row r="3913" spans="1:5" ht="30" customHeight="1">
      <c r="A3913" s="4">
        <v>3911</v>
      </c>
      <c r="B3913" s="4" t="str">
        <f>"397120220607000259102415"</f>
        <v>397120220607000259102415</v>
      </c>
      <c r="C3913" s="4" t="s">
        <v>28</v>
      </c>
      <c r="D3913" s="4" t="str">
        <f>"符金于"</f>
        <v>符金于</v>
      </c>
      <c r="E3913" s="4" t="str">
        <f>"女"</f>
        <v>女</v>
      </c>
    </row>
    <row r="3914" spans="1:5" ht="30" customHeight="1">
      <c r="A3914" s="4">
        <v>3912</v>
      </c>
      <c r="B3914" s="4" t="str">
        <f>"397120220607000551102422"</f>
        <v>397120220607000551102422</v>
      </c>
      <c r="C3914" s="4" t="s">
        <v>28</v>
      </c>
      <c r="D3914" s="4" t="str">
        <f>"陈银美"</f>
        <v>陈银美</v>
      </c>
      <c r="E3914" s="4" t="str">
        <f>"女"</f>
        <v>女</v>
      </c>
    </row>
    <row r="3915" spans="1:5" ht="30" customHeight="1">
      <c r="A3915" s="4">
        <v>3913</v>
      </c>
      <c r="B3915" s="4" t="str">
        <f>"397120220607000836102427"</f>
        <v>397120220607000836102427</v>
      </c>
      <c r="C3915" s="4" t="s">
        <v>28</v>
      </c>
      <c r="D3915" s="4" t="str">
        <f>"薛琼"</f>
        <v>薛琼</v>
      </c>
      <c r="E3915" s="4" t="str">
        <f>"女"</f>
        <v>女</v>
      </c>
    </row>
    <row r="3916" spans="1:5" ht="30" customHeight="1">
      <c r="A3916" s="4">
        <v>3914</v>
      </c>
      <c r="B3916" s="4" t="str">
        <f>"397120220607004211102471"</f>
        <v>397120220607004211102471</v>
      </c>
      <c r="C3916" s="4" t="s">
        <v>28</v>
      </c>
      <c r="D3916" s="4" t="str">
        <f>"洪玉妮"</f>
        <v>洪玉妮</v>
      </c>
      <c r="E3916" s="4" t="str">
        <f>"女"</f>
        <v>女</v>
      </c>
    </row>
    <row r="3917" spans="1:5" ht="30" customHeight="1">
      <c r="A3917" s="4">
        <v>3915</v>
      </c>
      <c r="B3917" s="4" t="str">
        <f>"397120220607005523102485"</f>
        <v>397120220607005523102485</v>
      </c>
      <c r="C3917" s="4" t="s">
        <v>28</v>
      </c>
      <c r="D3917" s="4" t="str">
        <f>"周思远"</f>
        <v>周思远</v>
      </c>
      <c r="E3917" s="4" t="str">
        <f>"女"</f>
        <v>女</v>
      </c>
    </row>
    <row r="3918" spans="1:5" ht="30" customHeight="1">
      <c r="A3918" s="4">
        <v>3916</v>
      </c>
      <c r="B3918" s="4" t="str">
        <f>"397120220607022813102534"</f>
        <v>397120220607022813102534</v>
      </c>
      <c r="C3918" s="4" t="s">
        <v>28</v>
      </c>
      <c r="D3918" s="4" t="str">
        <f>"张艺"</f>
        <v>张艺</v>
      </c>
      <c r="E3918" s="4" t="str">
        <f>"男"</f>
        <v>男</v>
      </c>
    </row>
    <row r="3919" spans="1:5" ht="30" customHeight="1">
      <c r="A3919" s="4">
        <v>3917</v>
      </c>
      <c r="B3919" s="4" t="str">
        <f>"397120220607042307102545"</f>
        <v>397120220607042307102545</v>
      </c>
      <c r="C3919" s="4" t="s">
        <v>28</v>
      </c>
      <c r="D3919" s="4" t="str">
        <f>"周晓红"</f>
        <v>周晓红</v>
      </c>
      <c r="E3919" s="4" t="str">
        <f aca="true" t="shared" si="151" ref="E3919:E3941">"女"</f>
        <v>女</v>
      </c>
    </row>
    <row r="3920" spans="1:5" ht="30" customHeight="1">
      <c r="A3920" s="4">
        <v>3918</v>
      </c>
      <c r="B3920" s="4" t="str">
        <f>"397120220607062930102571"</f>
        <v>397120220607062930102571</v>
      </c>
      <c r="C3920" s="4" t="s">
        <v>28</v>
      </c>
      <c r="D3920" s="4" t="str">
        <f>"罗春阳"</f>
        <v>罗春阳</v>
      </c>
      <c r="E3920" s="4" t="str">
        <f t="shared" si="151"/>
        <v>女</v>
      </c>
    </row>
    <row r="3921" spans="1:5" ht="30" customHeight="1">
      <c r="A3921" s="4">
        <v>3919</v>
      </c>
      <c r="B3921" s="4" t="str">
        <f>"397120220607081447102771"</f>
        <v>397120220607081447102771</v>
      </c>
      <c r="C3921" s="4" t="s">
        <v>28</v>
      </c>
      <c r="D3921" s="4" t="str">
        <f>"麦银芳"</f>
        <v>麦银芳</v>
      </c>
      <c r="E3921" s="4" t="str">
        <f t="shared" si="151"/>
        <v>女</v>
      </c>
    </row>
    <row r="3922" spans="1:5" ht="30" customHeight="1">
      <c r="A3922" s="4">
        <v>3920</v>
      </c>
      <c r="B3922" s="4" t="str">
        <f>"397120220607084829103041"</f>
        <v>397120220607084829103041</v>
      </c>
      <c r="C3922" s="4" t="s">
        <v>28</v>
      </c>
      <c r="D3922" s="4" t="str">
        <f>"邢贞苗"</f>
        <v>邢贞苗</v>
      </c>
      <c r="E3922" s="4" t="str">
        <f t="shared" si="151"/>
        <v>女</v>
      </c>
    </row>
    <row r="3923" spans="1:5" ht="30" customHeight="1">
      <c r="A3923" s="4">
        <v>3921</v>
      </c>
      <c r="B3923" s="4" t="str">
        <f>"397120220607085341103097"</f>
        <v>397120220607085341103097</v>
      </c>
      <c r="C3923" s="4" t="s">
        <v>28</v>
      </c>
      <c r="D3923" s="4" t="str">
        <f>"容镜巧"</f>
        <v>容镜巧</v>
      </c>
      <c r="E3923" s="4" t="str">
        <f t="shared" si="151"/>
        <v>女</v>
      </c>
    </row>
    <row r="3924" spans="1:5" ht="30" customHeight="1">
      <c r="A3924" s="4">
        <v>3922</v>
      </c>
      <c r="B3924" s="4" t="str">
        <f>"397120220607085726103145"</f>
        <v>397120220607085726103145</v>
      </c>
      <c r="C3924" s="4" t="s">
        <v>28</v>
      </c>
      <c r="D3924" s="4" t="str">
        <f>"黎秋丽"</f>
        <v>黎秋丽</v>
      </c>
      <c r="E3924" s="4" t="str">
        <f t="shared" si="151"/>
        <v>女</v>
      </c>
    </row>
    <row r="3925" spans="1:5" ht="30" customHeight="1">
      <c r="A3925" s="4">
        <v>3923</v>
      </c>
      <c r="B3925" s="4" t="str">
        <f>"397120220607085748103147"</f>
        <v>397120220607085748103147</v>
      </c>
      <c r="C3925" s="4" t="s">
        <v>28</v>
      </c>
      <c r="D3925" s="4" t="str">
        <f>"刘娟"</f>
        <v>刘娟</v>
      </c>
      <c r="E3925" s="4" t="str">
        <f t="shared" si="151"/>
        <v>女</v>
      </c>
    </row>
    <row r="3926" spans="1:5" ht="30" customHeight="1">
      <c r="A3926" s="4">
        <v>3924</v>
      </c>
      <c r="B3926" s="4" t="str">
        <f>"397120220607090017103171"</f>
        <v>397120220607090017103171</v>
      </c>
      <c r="C3926" s="4" t="s">
        <v>28</v>
      </c>
      <c r="D3926" s="4" t="str">
        <f>"李文丽"</f>
        <v>李文丽</v>
      </c>
      <c r="E3926" s="4" t="str">
        <f t="shared" si="151"/>
        <v>女</v>
      </c>
    </row>
    <row r="3927" spans="1:5" ht="30" customHeight="1">
      <c r="A3927" s="4">
        <v>3925</v>
      </c>
      <c r="B3927" s="4" t="str">
        <f>"397120220607090127103184"</f>
        <v>397120220607090127103184</v>
      </c>
      <c r="C3927" s="4" t="s">
        <v>28</v>
      </c>
      <c r="D3927" s="4" t="str">
        <f>"李咨蔓"</f>
        <v>李咨蔓</v>
      </c>
      <c r="E3927" s="4" t="str">
        <f t="shared" si="151"/>
        <v>女</v>
      </c>
    </row>
    <row r="3928" spans="1:5" ht="30" customHeight="1">
      <c r="A3928" s="4">
        <v>3926</v>
      </c>
      <c r="B3928" s="4" t="str">
        <f>"397120220607090340103220"</f>
        <v>397120220607090340103220</v>
      </c>
      <c r="C3928" s="4" t="s">
        <v>28</v>
      </c>
      <c r="D3928" s="4" t="str">
        <f>"罗静仪"</f>
        <v>罗静仪</v>
      </c>
      <c r="E3928" s="4" t="str">
        <f t="shared" si="151"/>
        <v>女</v>
      </c>
    </row>
    <row r="3929" spans="1:5" ht="30" customHeight="1">
      <c r="A3929" s="4">
        <v>3927</v>
      </c>
      <c r="B3929" s="4" t="str">
        <f>"397120220607090558103252"</f>
        <v>397120220607090558103252</v>
      </c>
      <c r="C3929" s="4" t="s">
        <v>28</v>
      </c>
      <c r="D3929" s="4" t="str">
        <f>"陈日映"</f>
        <v>陈日映</v>
      </c>
      <c r="E3929" s="4" t="str">
        <f t="shared" si="151"/>
        <v>女</v>
      </c>
    </row>
    <row r="3930" spans="1:5" ht="30" customHeight="1">
      <c r="A3930" s="4">
        <v>3928</v>
      </c>
      <c r="B3930" s="4" t="str">
        <f>"397120220607090933103300"</f>
        <v>397120220607090933103300</v>
      </c>
      <c r="C3930" s="4" t="s">
        <v>28</v>
      </c>
      <c r="D3930" s="4" t="str">
        <f>"李海佳"</f>
        <v>李海佳</v>
      </c>
      <c r="E3930" s="4" t="str">
        <f t="shared" si="151"/>
        <v>女</v>
      </c>
    </row>
    <row r="3931" spans="1:5" ht="30" customHeight="1">
      <c r="A3931" s="4">
        <v>3929</v>
      </c>
      <c r="B3931" s="4" t="str">
        <f>"397120220607091535103369"</f>
        <v>397120220607091535103369</v>
      </c>
      <c r="C3931" s="4" t="s">
        <v>28</v>
      </c>
      <c r="D3931" s="4" t="str">
        <f>"郭珍珍"</f>
        <v>郭珍珍</v>
      </c>
      <c r="E3931" s="4" t="str">
        <f t="shared" si="151"/>
        <v>女</v>
      </c>
    </row>
    <row r="3932" spans="1:5" ht="30" customHeight="1">
      <c r="A3932" s="4">
        <v>3930</v>
      </c>
      <c r="B3932" s="4" t="str">
        <f>"397120220607091956103429"</f>
        <v>397120220607091956103429</v>
      </c>
      <c r="C3932" s="4" t="s">
        <v>28</v>
      </c>
      <c r="D3932" s="4" t="str">
        <f>"朱邓彤欣"</f>
        <v>朱邓彤欣</v>
      </c>
      <c r="E3932" s="4" t="str">
        <f t="shared" si="151"/>
        <v>女</v>
      </c>
    </row>
    <row r="3933" spans="1:5" ht="30" customHeight="1">
      <c r="A3933" s="4">
        <v>3931</v>
      </c>
      <c r="B3933" s="4" t="str">
        <f>"397120220607092205103463"</f>
        <v>397120220607092205103463</v>
      </c>
      <c r="C3933" s="4" t="s">
        <v>28</v>
      </c>
      <c r="D3933" s="4" t="str">
        <f>"符蓓苗"</f>
        <v>符蓓苗</v>
      </c>
      <c r="E3933" s="4" t="str">
        <f t="shared" si="151"/>
        <v>女</v>
      </c>
    </row>
    <row r="3934" spans="1:5" ht="30" customHeight="1">
      <c r="A3934" s="4">
        <v>3932</v>
      </c>
      <c r="B3934" s="4" t="str">
        <f>"397120220607094306103738"</f>
        <v>397120220607094306103738</v>
      </c>
      <c r="C3934" s="4" t="s">
        <v>28</v>
      </c>
      <c r="D3934" s="4" t="str">
        <f>"吴丽雯"</f>
        <v>吴丽雯</v>
      </c>
      <c r="E3934" s="4" t="str">
        <f t="shared" si="151"/>
        <v>女</v>
      </c>
    </row>
    <row r="3935" spans="1:5" ht="30" customHeight="1">
      <c r="A3935" s="4">
        <v>3933</v>
      </c>
      <c r="B3935" s="4" t="str">
        <f>"397120220607094438103764"</f>
        <v>397120220607094438103764</v>
      </c>
      <c r="C3935" s="4" t="s">
        <v>28</v>
      </c>
      <c r="D3935" s="4" t="str">
        <f>"张茉"</f>
        <v>张茉</v>
      </c>
      <c r="E3935" s="4" t="str">
        <f t="shared" si="151"/>
        <v>女</v>
      </c>
    </row>
    <row r="3936" spans="1:5" ht="30" customHeight="1">
      <c r="A3936" s="4">
        <v>3934</v>
      </c>
      <c r="B3936" s="4" t="str">
        <f>"397120220607094732103811"</f>
        <v>397120220607094732103811</v>
      </c>
      <c r="C3936" s="4" t="s">
        <v>28</v>
      </c>
      <c r="D3936" s="4" t="str">
        <f>"王玲兰"</f>
        <v>王玲兰</v>
      </c>
      <c r="E3936" s="4" t="str">
        <f t="shared" si="151"/>
        <v>女</v>
      </c>
    </row>
    <row r="3937" spans="1:5" ht="30" customHeight="1">
      <c r="A3937" s="4">
        <v>3935</v>
      </c>
      <c r="B3937" s="4" t="str">
        <f>"397120220607095350103894"</f>
        <v>397120220607095350103894</v>
      </c>
      <c r="C3937" s="4" t="s">
        <v>28</v>
      </c>
      <c r="D3937" s="4" t="str">
        <f>"周心怡"</f>
        <v>周心怡</v>
      </c>
      <c r="E3937" s="4" t="str">
        <f t="shared" si="151"/>
        <v>女</v>
      </c>
    </row>
    <row r="3938" spans="1:5" ht="30" customHeight="1">
      <c r="A3938" s="4">
        <v>3936</v>
      </c>
      <c r="B3938" s="4" t="str">
        <f>"397120220607095416103902"</f>
        <v>397120220607095416103902</v>
      </c>
      <c r="C3938" s="4" t="s">
        <v>28</v>
      </c>
      <c r="D3938" s="4" t="str">
        <f>"李专"</f>
        <v>李专</v>
      </c>
      <c r="E3938" s="4" t="str">
        <f t="shared" si="151"/>
        <v>女</v>
      </c>
    </row>
    <row r="3939" spans="1:5" ht="30" customHeight="1">
      <c r="A3939" s="4">
        <v>3937</v>
      </c>
      <c r="B3939" s="4" t="str">
        <f>"397120220607095842103982"</f>
        <v>397120220607095842103982</v>
      </c>
      <c r="C3939" s="4" t="s">
        <v>28</v>
      </c>
      <c r="D3939" s="4" t="str">
        <f>"符慕蓉蓉"</f>
        <v>符慕蓉蓉</v>
      </c>
      <c r="E3939" s="4" t="str">
        <f t="shared" si="151"/>
        <v>女</v>
      </c>
    </row>
    <row r="3940" spans="1:5" ht="30" customHeight="1">
      <c r="A3940" s="4">
        <v>3938</v>
      </c>
      <c r="B3940" s="4" t="str">
        <f>"397120220607100129104017"</f>
        <v>397120220607100129104017</v>
      </c>
      <c r="C3940" s="4" t="s">
        <v>28</v>
      </c>
      <c r="D3940" s="4" t="str">
        <f>"符方梅"</f>
        <v>符方梅</v>
      </c>
      <c r="E3940" s="4" t="str">
        <f t="shared" si="151"/>
        <v>女</v>
      </c>
    </row>
    <row r="3941" spans="1:5" ht="30" customHeight="1">
      <c r="A3941" s="4">
        <v>3939</v>
      </c>
      <c r="B3941" s="4" t="str">
        <f>"397120220607100718104104"</f>
        <v>397120220607100718104104</v>
      </c>
      <c r="C3941" s="4" t="s">
        <v>28</v>
      </c>
      <c r="D3941" s="4" t="str">
        <f>"李敏"</f>
        <v>李敏</v>
      </c>
      <c r="E3941" s="4" t="str">
        <f t="shared" si="151"/>
        <v>女</v>
      </c>
    </row>
    <row r="3942" spans="1:5" ht="30" customHeight="1">
      <c r="A3942" s="4">
        <v>3940</v>
      </c>
      <c r="B3942" s="4" t="str">
        <f>"397120220607101105104146"</f>
        <v>397120220607101105104146</v>
      </c>
      <c r="C3942" s="4" t="s">
        <v>28</v>
      </c>
      <c r="D3942" s="4" t="str">
        <f>"李茂运"</f>
        <v>李茂运</v>
      </c>
      <c r="E3942" s="4" t="str">
        <f>"男"</f>
        <v>男</v>
      </c>
    </row>
    <row r="3943" spans="1:5" ht="30" customHeight="1">
      <c r="A3943" s="4">
        <v>3941</v>
      </c>
      <c r="B3943" s="4" t="str">
        <f>"397120220607101646104219"</f>
        <v>397120220607101646104219</v>
      </c>
      <c r="C3943" s="4" t="s">
        <v>28</v>
      </c>
      <c r="D3943" s="4" t="str">
        <f>"冯华玲"</f>
        <v>冯华玲</v>
      </c>
      <c r="E3943" s="4" t="str">
        <f aca="true" t="shared" si="152" ref="E3943:E3970">"女"</f>
        <v>女</v>
      </c>
    </row>
    <row r="3944" spans="1:5" ht="30" customHeight="1">
      <c r="A3944" s="4">
        <v>3942</v>
      </c>
      <c r="B3944" s="4" t="str">
        <f>"397120220607101900104245"</f>
        <v>397120220607101900104245</v>
      </c>
      <c r="C3944" s="4" t="s">
        <v>28</v>
      </c>
      <c r="D3944" s="4" t="str">
        <f>"游佳露"</f>
        <v>游佳露</v>
      </c>
      <c r="E3944" s="4" t="str">
        <f t="shared" si="152"/>
        <v>女</v>
      </c>
    </row>
    <row r="3945" spans="1:5" ht="30" customHeight="1">
      <c r="A3945" s="4">
        <v>3943</v>
      </c>
      <c r="B3945" s="4" t="str">
        <f>"397120220607102235104289"</f>
        <v>397120220607102235104289</v>
      </c>
      <c r="C3945" s="4" t="s">
        <v>28</v>
      </c>
      <c r="D3945" s="4" t="str">
        <f>"农惠婷"</f>
        <v>农惠婷</v>
      </c>
      <c r="E3945" s="4" t="str">
        <f t="shared" si="152"/>
        <v>女</v>
      </c>
    </row>
    <row r="3946" spans="1:5" ht="30" customHeight="1">
      <c r="A3946" s="4">
        <v>3944</v>
      </c>
      <c r="B3946" s="4" t="str">
        <f>"397120220607103238104449"</f>
        <v>397120220607103238104449</v>
      </c>
      <c r="C3946" s="4" t="s">
        <v>28</v>
      </c>
      <c r="D3946" s="4" t="str">
        <f>"黄美佳"</f>
        <v>黄美佳</v>
      </c>
      <c r="E3946" s="4" t="str">
        <f t="shared" si="152"/>
        <v>女</v>
      </c>
    </row>
    <row r="3947" spans="1:5" ht="30" customHeight="1">
      <c r="A3947" s="4">
        <v>3945</v>
      </c>
      <c r="B3947" s="4" t="str">
        <f>"397120220607103842104529"</f>
        <v>397120220607103842104529</v>
      </c>
      <c r="C3947" s="4" t="s">
        <v>28</v>
      </c>
      <c r="D3947" s="4" t="str">
        <f>"张思涵"</f>
        <v>张思涵</v>
      </c>
      <c r="E3947" s="4" t="str">
        <f t="shared" si="152"/>
        <v>女</v>
      </c>
    </row>
    <row r="3948" spans="1:5" ht="30" customHeight="1">
      <c r="A3948" s="4">
        <v>3946</v>
      </c>
      <c r="B3948" s="4" t="str">
        <f>"397120220607104151104570"</f>
        <v>397120220607104151104570</v>
      </c>
      <c r="C3948" s="4" t="s">
        <v>28</v>
      </c>
      <c r="D3948" s="4" t="str">
        <f>"魏星"</f>
        <v>魏星</v>
      </c>
      <c r="E3948" s="4" t="str">
        <f t="shared" si="152"/>
        <v>女</v>
      </c>
    </row>
    <row r="3949" spans="1:5" ht="30" customHeight="1">
      <c r="A3949" s="4">
        <v>3947</v>
      </c>
      <c r="B3949" s="4" t="str">
        <f>"397120220607104416104604"</f>
        <v>397120220607104416104604</v>
      </c>
      <c r="C3949" s="4" t="s">
        <v>28</v>
      </c>
      <c r="D3949" s="4" t="str">
        <f>"韩欣霖"</f>
        <v>韩欣霖</v>
      </c>
      <c r="E3949" s="4" t="str">
        <f t="shared" si="152"/>
        <v>女</v>
      </c>
    </row>
    <row r="3950" spans="1:5" ht="30" customHeight="1">
      <c r="A3950" s="4">
        <v>3948</v>
      </c>
      <c r="B3950" s="4" t="str">
        <f>"397120220607104455104614"</f>
        <v>397120220607104455104614</v>
      </c>
      <c r="C3950" s="4" t="s">
        <v>28</v>
      </c>
      <c r="D3950" s="4" t="str">
        <f>"李佳星"</f>
        <v>李佳星</v>
      </c>
      <c r="E3950" s="4" t="str">
        <f t="shared" si="152"/>
        <v>女</v>
      </c>
    </row>
    <row r="3951" spans="1:5" ht="30" customHeight="1">
      <c r="A3951" s="4">
        <v>3949</v>
      </c>
      <c r="B3951" s="4" t="str">
        <f>"397120220607104711104640"</f>
        <v>397120220607104711104640</v>
      </c>
      <c r="C3951" s="4" t="s">
        <v>28</v>
      </c>
      <c r="D3951" s="4" t="str">
        <f>"董佳佳"</f>
        <v>董佳佳</v>
      </c>
      <c r="E3951" s="4" t="str">
        <f t="shared" si="152"/>
        <v>女</v>
      </c>
    </row>
    <row r="3952" spans="1:5" ht="30" customHeight="1">
      <c r="A3952" s="4">
        <v>3950</v>
      </c>
      <c r="B3952" s="4" t="str">
        <f>"397120220607104923104669"</f>
        <v>397120220607104923104669</v>
      </c>
      <c r="C3952" s="4" t="s">
        <v>28</v>
      </c>
      <c r="D3952" s="4" t="str">
        <f>"杨小香"</f>
        <v>杨小香</v>
      </c>
      <c r="E3952" s="4" t="str">
        <f t="shared" si="152"/>
        <v>女</v>
      </c>
    </row>
    <row r="3953" spans="1:5" ht="30" customHeight="1">
      <c r="A3953" s="4">
        <v>3951</v>
      </c>
      <c r="B3953" s="4" t="str">
        <f>"397120220607110435104862"</f>
        <v>397120220607110435104862</v>
      </c>
      <c r="C3953" s="4" t="s">
        <v>28</v>
      </c>
      <c r="D3953" s="4" t="str">
        <f>"高冰"</f>
        <v>高冰</v>
      </c>
      <c r="E3953" s="4" t="str">
        <f t="shared" si="152"/>
        <v>女</v>
      </c>
    </row>
    <row r="3954" spans="1:5" ht="30" customHeight="1">
      <c r="A3954" s="4">
        <v>3952</v>
      </c>
      <c r="B3954" s="4" t="str">
        <f>"397120220607111621104989"</f>
        <v>397120220607111621104989</v>
      </c>
      <c r="C3954" s="4" t="s">
        <v>28</v>
      </c>
      <c r="D3954" s="4" t="str">
        <f>"陈雅素"</f>
        <v>陈雅素</v>
      </c>
      <c r="E3954" s="4" t="str">
        <f t="shared" si="152"/>
        <v>女</v>
      </c>
    </row>
    <row r="3955" spans="1:5" ht="30" customHeight="1">
      <c r="A3955" s="4">
        <v>3953</v>
      </c>
      <c r="B3955" s="4" t="str">
        <f>"397120220607112507105082"</f>
        <v>397120220607112507105082</v>
      </c>
      <c r="C3955" s="4" t="s">
        <v>28</v>
      </c>
      <c r="D3955" s="4" t="str">
        <f>"王少葵"</f>
        <v>王少葵</v>
      </c>
      <c r="E3955" s="4" t="str">
        <f t="shared" si="152"/>
        <v>女</v>
      </c>
    </row>
    <row r="3956" spans="1:5" ht="30" customHeight="1">
      <c r="A3956" s="4">
        <v>3954</v>
      </c>
      <c r="B3956" s="4" t="str">
        <f>"397120220607113059105144"</f>
        <v>397120220607113059105144</v>
      </c>
      <c r="C3956" s="4" t="s">
        <v>28</v>
      </c>
      <c r="D3956" s="4" t="str">
        <f>"陈金水"</f>
        <v>陈金水</v>
      </c>
      <c r="E3956" s="4" t="str">
        <f t="shared" si="152"/>
        <v>女</v>
      </c>
    </row>
    <row r="3957" spans="1:5" ht="30" customHeight="1">
      <c r="A3957" s="4">
        <v>3955</v>
      </c>
      <c r="B3957" s="4" t="str">
        <f>"397120220607113111105151"</f>
        <v>397120220607113111105151</v>
      </c>
      <c r="C3957" s="4" t="s">
        <v>28</v>
      </c>
      <c r="D3957" s="4" t="str">
        <f>"李君"</f>
        <v>李君</v>
      </c>
      <c r="E3957" s="4" t="str">
        <f t="shared" si="152"/>
        <v>女</v>
      </c>
    </row>
    <row r="3958" spans="1:5" ht="30" customHeight="1">
      <c r="A3958" s="4">
        <v>3956</v>
      </c>
      <c r="B3958" s="4" t="str">
        <f>"397120220607113459105191"</f>
        <v>397120220607113459105191</v>
      </c>
      <c r="C3958" s="4" t="s">
        <v>28</v>
      </c>
      <c r="D3958" s="4" t="str">
        <f>"苏悦"</f>
        <v>苏悦</v>
      </c>
      <c r="E3958" s="4" t="str">
        <f t="shared" si="152"/>
        <v>女</v>
      </c>
    </row>
    <row r="3959" spans="1:5" ht="30" customHeight="1">
      <c r="A3959" s="4">
        <v>3957</v>
      </c>
      <c r="B3959" s="4" t="str">
        <f>"397120220607114115105260"</f>
        <v>397120220607114115105260</v>
      </c>
      <c r="C3959" s="4" t="s">
        <v>28</v>
      </c>
      <c r="D3959" s="4" t="str">
        <f>"刘谷享"</f>
        <v>刘谷享</v>
      </c>
      <c r="E3959" s="4" t="str">
        <f t="shared" si="152"/>
        <v>女</v>
      </c>
    </row>
    <row r="3960" spans="1:5" ht="30" customHeight="1">
      <c r="A3960" s="4">
        <v>3958</v>
      </c>
      <c r="B3960" s="4" t="str">
        <f>"397120220607114551105302"</f>
        <v>397120220607114551105302</v>
      </c>
      <c r="C3960" s="4" t="s">
        <v>28</v>
      </c>
      <c r="D3960" s="4" t="str">
        <f>"曾晨"</f>
        <v>曾晨</v>
      </c>
      <c r="E3960" s="4" t="str">
        <f t="shared" si="152"/>
        <v>女</v>
      </c>
    </row>
    <row r="3961" spans="1:5" ht="30" customHeight="1">
      <c r="A3961" s="4">
        <v>3959</v>
      </c>
      <c r="B3961" s="4" t="str">
        <f>"397120220607114625105307"</f>
        <v>397120220607114625105307</v>
      </c>
      <c r="C3961" s="4" t="s">
        <v>28</v>
      </c>
      <c r="D3961" s="4" t="str">
        <f>"杨舒翔"</f>
        <v>杨舒翔</v>
      </c>
      <c r="E3961" s="4" t="str">
        <f t="shared" si="152"/>
        <v>女</v>
      </c>
    </row>
    <row r="3962" spans="1:5" ht="30" customHeight="1">
      <c r="A3962" s="4">
        <v>3960</v>
      </c>
      <c r="B3962" s="4" t="str">
        <f>"397120220607115047105354"</f>
        <v>397120220607115047105354</v>
      </c>
      <c r="C3962" s="4" t="s">
        <v>28</v>
      </c>
      <c r="D3962" s="4" t="str">
        <f>"丁丹丹"</f>
        <v>丁丹丹</v>
      </c>
      <c r="E3962" s="4" t="str">
        <f t="shared" si="152"/>
        <v>女</v>
      </c>
    </row>
    <row r="3963" spans="1:5" ht="30" customHeight="1">
      <c r="A3963" s="4">
        <v>3961</v>
      </c>
      <c r="B3963" s="4" t="str">
        <f>"397120220607115754105408"</f>
        <v>397120220607115754105408</v>
      </c>
      <c r="C3963" s="4" t="s">
        <v>28</v>
      </c>
      <c r="D3963" s="4" t="str">
        <f>"赵旸"</f>
        <v>赵旸</v>
      </c>
      <c r="E3963" s="4" t="str">
        <f t="shared" si="152"/>
        <v>女</v>
      </c>
    </row>
    <row r="3964" spans="1:5" ht="30" customHeight="1">
      <c r="A3964" s="4">
        <v>3962</v>
      </c>
      <c r="B3964" s="4" t="str">
        <f>"397120220607121327105538"</f>
        <v>397120220607121327105538</v>
      </c>
      <c r="C3964" s="4" t="s">
        <v>28</v>
      </c>
      <c r="D3964" s="4" t="str">
        <f>"符绮凤"</f>
        <v>符绮凤</v>
      </c>
      <c r="E3964" s="4" t="str">
        <f t="shared" si="152"/>
        <v>女</v>
      </c>
    </row>
    <row r="3965" spans="1:5" ht="30" customHeight="1">
      <c r="A3965" s="4">
        <v>3963</v>
      </c>
      <c r="B3965" s="4" t="str">
        <f>"397120220607121909105575"</f>
        <v>397120220607121909105575</v>
      </c>
      <c r="C3965" s="4" t="s">
        <v>28</v>
      </c>
      <c r="D3965" s="4" t="str">
        <f>"符小霞"</f>
        <v>符小霞</v>
      </c>
      <c r="E3965" s="4" t="str">
        <f t="shared" si="152"/>
        <v>女</v>
      </c>
    </row>
    <row r="3966" spans="1:5" ht="30" customHeight="1">
      <c r="A3966" s="4">
        <v>3964</v>
      </c>
      <c r="B3966" s="4" t="str">
        <f>"397120220607122312105609"</f>
        <v>397120220607122312105609</v>
      </c>
      <c r="C3966" s="4" t="s">
        <v>28</v>
      </c>
      <c r="D3966" s="4" t="str">
        <f>"梁珊"</f>
        <v>梁珊</v>
      </c>
      <c r="E3966" s="4" t="str">
        <f t="shared" si="152"/>
        <v>女</v>
      </c>
    </row>
    <row r="3967" spans="1:5" ht="30" customHeight="1">
      <c r="A3967" s="4">
        <v>3965</v>
      </c>
      <c r="B3967" s="4" t="str">
        <f>"397120220607122716105641"</f>
        <v>397120220607122716105641</v>
      </c>
      <c r="C3967" s="4" t="s">
        <v>28</v>
      </c>
      <c r="D3967" s="4" t="str">
        <f>"麦绍妹"</f>
        <v>麦绍妹</v>
      </c>
      <c r="E3967" s="4" t="str">
        <f t="shared" si="152"/>
        <v>女</v>
      </c>
    </row>
    <row r="3968" spans="1:5" ht="30" customHeight="1">
      <c r="A3968" s="4">
        <v>3966</v>
      </c>
      <c r="B3968" s="4" t="str">
        <f>"397120220607123247105680"</f>
        <v>397120220607123247105680</v>
      </c>
      <c r="C3968" s="4" t="s">
        <v>28</v>
      </c>
      <c r="D3968" s="4" t="str">
        <f>"麦惠群"</f>
        <v>麦惠群</v>
      </c>
      <c r="E3968" s="4" t="str">
        <f t="shared" si="152"/>
        <v>女</v>
      </c>
    </row>
    <row r="3969" spans="1:5" ht="30" customHeight="1">
      <c r="A3969" s="4">
        <v>3967</v>
      </c>
      <c r="B3969" s="4" t="str">
        <f>"397120220607123532105709"</f>
        <v>397120220607123532105709</v>
      </c>
      <c r="C3969" s="4" t="s">
        <v>28</v>
      </c>
      <c r="D3969" s="4" t="str">
        <f>"苏凤妹"</f>
        <v>苏凤妹</v>
      </c>
      <c r="E3969" s="4" t="str">
        <f t="shared" si="152"/>
        <v>女</v>
      </c>
    </row>
    <row r="3970" spans="1:5" ht="30" customHeight="1">
      <c r="A3970" s="4">
        <v>3968</v>
      </c>
      <c r="B3970" s="4" t="str">
        <f>"397120220607125009105829"</f>
        <v>397120220607125009105829</v>
      </c>
      <c r="C3970" s="4" t="s">
        <v>28</v>
      </c>
      <c r="D3970" s="4" t="str">
        <f>"冯珊珊"</f>
        <v>冯珊珊</v>
      </c>
      <c r="E3970" s="4" t="str">
        <f t="shared" si="152"/>
        <v>女</v>
      </c>
    </row>
    <row r="3971" spans="1:5" ht="30" customHeight="1">
      <c r="A3971" s="4">
        <v>3969</v>
      </c>
      <c r="B3971" s="4" t="str">
        <f>"397120220607130008105891"</f>
        <v>397120220607130008105891</v>
      </c>
      <c r="C3971" s="4" t="s">
        <v>28</v>
      </c>
      <c r="D3971" s="4" t="str">
        <f>"赵瑞"</f>
        <v>赵瑞</v>
      </c>
      <c r="E3971" s="4" t="str">
        <f>"男"</f>
        <v>男</v>
      </c>
    </row>
    <row r="3972" spans="1:5" ht="30" customHeight="1">
      <c r="A3972" s="4">
        <v>3970</v>
      </c>
      <c r="B3972" s="4" t="str">
        <f>"397120220607130804105954"</f>
        <v>397120220607130804105954</v>
      </c>
      <c r="C3972" s="4" t="s">
        <v>28</v>
      </c>
      <c r="D3972" s="4" t="str">
        <f>"刘婧"</f>
        <v>刘婧</v>
      </c>
      <c r="E3972" s="4" t="str">
        <f aca="true" t="shared" si="153" ref="E3972:E3984">"女"</f>
        <v>女</v>
      </c>
    </row>
    <row r="3973" spans="1:5" ht="30" customHeight="1">
      <c r="A3973" s="4">
        <v>3971</v>
      </c>
      <c r="B3973" s="4" t="str">
        <f>"397120220607131814106015"</f>
        <v>397120220607131814106015</v>
      </c>
      <c r="C3973" s="4" t="s">
        <v>28</v>
      </c>
      <c r="D3973" s="4" t="str">
        <f>"闵媛媛"</f>
        <v>闵媛媛</v>
      </c>
      <c r="E3973" s="4" t="str">
        <f t="shared" si="153"/>
        <v>女</v>
      </c>
    </row>
    <row r="3974" spans="1:5" ht="30" customHeight="1">
      <c r="A3974" s="4">
        <v>3972</v>
      </c>
      <c r="B3974" s="4" t="str">
        <f>"397120220607132325106054"</f>
        <v>397120220607132325106054</v>
      </c>
      <c r="C3974" s="4" t="s">
        <v>28</v>
      </c>
      <c r="D3974" s="4" t="str">
        <f>"熊雨轩"</f>
        <v>熊雨轩</v>
      </c>
      <c r="E3974" s="4" t="str">
        <f t="shared" si="153"/>
        <v>女</v>
      </c>
    </row>
    <row r="3975" spans="1:5" ht="30" customHeight="1">
      <c r="A3975" s="4">
        <v>3973</v>
      </c>
      <c r="B3975" s="4" t="str">
        <f>"397120220607134552106205"</f>
        <v>397120220607134552106205</v>
      </c>
      <c r="C3975" s="4" t="s">
        <v>28</v>
      </c>
      <c r="D3975" s="4" t="str">
        <f>"蹇文慧"</f>
        <v>蹇文慧</v>
      </c>
      <c r="E3975" s="4" t="str">
        <f t="shared" si="153"/>
        <v>女</v>
      </c>
    </row>
    <row r="3976" spans="1:5" ht="30" customHeight="1">
      <c r="A3976" s="4">
        <v>3974</v>
      </c>
      <c r="B3976" s="4" t="str">
        <f>"397120220607143213106500"</f>
        <v>397120220607143213106500</v>
      </c>
      <c r="C3976" s="4" t="s">
        <v>28</v>
      </c>
      <c r="D3976" s="4" t="str">
        <f>"莫儒诗"</f>
        <v>莫儒诗</v>
      </c>
      <c r="E3976" s="4" t="str">
        <f t="shared" si="153"/>
        <v>女</v>
      </c>
    </row>
    <row r="3977" spans="1:5" ht="30" customHeight="1">
      <c r="A3977" s="4">
        <v>3975</v>
      </c>
      <c r="B3977" s="4" t="str">
        <f>"397120220607144535106606"</f>
        <v>397120220607144535106606</v>
      </c>
      <c r="C3977" s="4" t="s">
        <v>28</v>
      </c>
      <c r="D3977" s="4" t="str">
        <f>"黄佳倩"</f>
        <v>黄佳倩</v>
      </c>
      <c r="E3977" s="4" t="str">
        <f t="shared" si="153"/>
        <v>女</v>
      </c>
    </row>
    <row r="3978" spans="1:5" ht="30" customHeight="1">
      <c r="A3978" s="4">
        <v>3976</v>
      </c>
      <c r="B3978" s="4" t="str">
        <f>"397120220607151426106883"</f>
        <v>397120220607151426106883</v>
      </c>
      <c r="C3978" s="4" t="s">
        <v>28</v>
      </c>
      <c r="D3978" s="4" t="str">
        <f>"郑柳"</f>
        <v>郑柳</v>
      </c>
      <c r="E3978" s="4" t="str">
        <f t="shared" si="153"/>
        <v>女</v>
      </c>
    </row>
    <row r="3979" spans="1:5" ht="30" customHeight="1">
      <c r="A3979" s="4">
        <v>3977</v>
      </c>
      <c r="B3979" s="4" t="str">
        <f>"397120220607152738107044"</f>
        <v>397120220607152738107044</v>
      </c>
      <c r="C3979" s="4" t="s">
        <v>28</v>
      </c>
      <c r="D3979" s="4" t="str">
        <f>"王闰玉"</f>
        <v>王闰玉</v>
      </c>
      <c r="E3979" s="4" t="str">
        <f t="shared" si="153"/>
        <v>女</v>
      </c>
    </row>
    <row r="3980" spans="1:5" ht="30" customHeight="1">
      <c r="A3980" s="4">
        <v>3978</v>
      </c>
      <c r="B3980" s="4" t="str">
        <f>"397120220607153433107109"</f>
        <v>397120220607153433107109</v>
      </c>
      <c r="C3980" s="4" t="s">
        <v>28</v>
      </c>
      <c r="D3980" s="4" t="str">
        <f>"王艳梅"</f>
        <v>王艳梅</v>
      </c>
      <c r="E3980" s="4" t="str">
        <f t="shared" si="153"/>
        <v>女</v>
      </c>
    </row>
    <row r="3981" spans="1:5" ht="30" customHeight="1">
      <c r="A3981" s="4">
        <v>3979</v>
      </c>
      <c r="B3981" s="4" t="str">
        <f>"397120220607153750107139"</f>
        <v>397120220607153750107139</v>
      </c>
      <c r="C3981" s="4" t="s">
        <v>28</v>
      </c>
      <c r="D3981" s="4" t="str">
        <f>"梁月英"</f>
        <v>梁月英</v>
      </c>
      <c r="E3981" s="4" t="str">
        <f t="shared" si="153"/>
        <v>女</v>
      </c>
    </row>
    <row r="3982" spans="1:5" ht="30" customHeight="1">
      <c r="A3982" s="4">
        <v>3980</v>
      </c>
      <c r="B3982" s="4" t="str">
        <f>"397120220607154238107207"</f>
        <v>397120220607154238107207</v>
      </c>
      <c r="C3982" s="4" t="s">
        <v>28</v>
      </c>
      <c r="D3982" s="4" t="str">
        <f>"陈丽玮"</f>
        <v>陈丽玮</v>
      </c>
      <c r="E3982" s="4" t="str">
        <f t="shared" si="153"/>
        <v>女</v>
      </c>
    </row>
    <row r="3983" spans="1:5" ht="30" customHeight="1">
      <c r="A3983" s="4">
        <v>3981</v>
      </c>
      <c r="B3983" s="4" t="str">
        <f>"397120220607154821107267"</f>
        <v>397120220607154821107267</v>
      </c>
      <c r="C3983" s="4" t="s">
        <v>28</v>
      </c>
      <c r="D3983" s="4" t="str">
        <f>"陈玉湲"</f>
        <v>陈玉湲</v>
      </c>
      <c r="E3983" s="4" t="str">
        <f t="shared" si="153"/>
        <v>女</v>
      </c>
    </row>
    <row r="3984" spans="1:5" ht="30" customHeight="1">
      <c r="A3984" s="4">
        <v>3982</v>
      </c>
      <c r="B3984" s="4" t="str">
        <f>"397120220607155043107294"</f>
        <v>397120220607155043107294</v>
      </c>
      <c r="C3984" s="4" t="s">
        <v>28</v>
      </c>
      <c r="D3984" s="4" t="str">
        <f>"万水菊"</f>
        <v>万水菊</v>
      </c>
      <c r="E3984" s="4" t="str">
        <f t="shared" si="153"/>
        <v>女</v>
      </c>
    </row>
    <row r="3985" spans="1:5" ht="30" customHeight="1">
      <c r="A3985" s="4">
        <v>3983</v>
      </c>
      <c r="B3985" s="4" t="str">
        <f>"397120220607155133107299"</f>
        <v>397120220607155133107299</v>
      </c>
      <c r="C3985" s="4" t="s">
        <v>28</v>
      </c>
      <c r="D3985" s="4" t="str">
        <f>"张夏鹏"</f>
        <v>张夏鹏</v>
      </c>
      <c r="E3985" s="4" t="str">
        <f>"男"</f>
        <v>男</v>
      </c>
    </row>
    <row r="3986" spans="1:5" ht="30" customHeight="1">
      <c r="A3986" s="4">
        <v>3984</v>
      </c>
      <c r="B3986" s="4" t="str">
        <f>"397120220607155938107390"</f>
        <v>397120220607155938107390</v>
      </c>
      <c r="C3986" s="4" t="s">
        <v>28</v>
      </c>
      <c r="D3986" s="4" t="str">
        <f>"林培婷"</f>
        <v>林培婷</v>
      </c>
      <c r="E3986" s="4" t="str">
        <f aca="true" t="shared" si="154" ref="E3986:E3992">"女"</f>
        <v>女</v>
      </c>
    </row>
    <row r="3987" spans="1:5" ht="30" customHeight="1">
      <c r="A3987" s="4">
        <v>3985</v>
      </c>
      <c r="B3987" s="4" t="str">
        <f>"397120220607160900107497"</f>
        <v>397120220607160900107497</v>
      </c>
      <c r="C3987" s="4" t="s">
        <v>28</v>
      </c>
      <c r="D3987" s="4" t="str">
        <f>"孟庆玫"</f>
        <v>孟庆玫</v>
      </c>
      <c r="E3987" s="4" t="str">
        <f t="shared" si="154"/>
        <v>女</v>
      </c>
    </row>
    <row r="3988" spans="1:5" ht="30" customHeight="1">
      <c r="A3988" s="4">
        <v>3986</v>
      </c>
      <c r="B3988" s="4" t="str">
        <f>"397120220607162011107622"</f>
        <v>397120220607162011107622</v>
      </c>
      <c r="C3988" s="4" t="s">
        <v>28</v>
      </c>
      <c r="D3988" s="4" t="str">
        <f>"陈辉苗"</f>
        <v>陈辉苗</v>
      </c>
      <c r="E3988" s="4" t="str">
        <f t="shared" si="154"/>
        <v>女</v>
      </c>
    </row>
    <row r="3989" spans="1:5" ht="30" customHeight="1">
      <c r="A3989" s="4">
        <v>3987</v>
      </c>
      <c r="B3989" s="4" t="str">
        <f>"397120220607162426107667"</f>
        <v>397120220607162426107667</v>
      </c>
      <c r="C3989" s="4" t="s">
        <v>28</v>
      </c>
      <c r="D3989" s="4" t="str">
        <f>"黎萌萌"</f>
        <v>黎萌萌</v>
      </c>
      <c r="E3989" s="4" t="str">
        <f t="shared" si="154"/>
        <v>女</v>
      </c>
    </row>
    <row r="3990" spans="1:5" ht="30" customHeight="1">
      <c r="A3990" s="4">
        <v>3988</v>
      </c>
      <c r="B3990" s="4" t="str">
        <f>"397120220607164119107823"</f>
        <v>397120220607164119107823</v>
      </c>
      <c r="C3990" s="4" t="s">
        <v>28</v>
      </c>
      <c r="D3990" s="4" t="str">
        <f>"杨晨"</f>
        <v>杨晨</v>
      </c>
      <c r="E3990" s="4" t="str">
        <f t="shared" si="154"/>
        <v>女</v>
      </c>
    </row>
    <row r="3991" spans="1:5" ht="30" customHeight="1">
      <c r="A3991" s="4">
        <v>3989</v>
      </c>
      <c r="B3991" s="4" t="str">
        <f>"397120220607164249107839"</f>
        <v>397120220607164249107839</v>
      </c>
      <c r="C3991" s="4" t="s">
        <v>28</v>
      </c>
      <c r="D3991" s="4" t="str">
        <f>"杨琳"</f>
        <v>杨琳</v>
      </c>
      <c r="E3991" s="4" t="str">
        <f t="shared" si="154"/>
        <v>女</v>
      </c>
    </row>
    <row r="3992" spans="1:5" ht="30" customHeight="1">
      <c r="A3992" s="4">
        <v>3990</v>
      </c>
      <c r="B3992" s="4" t="str">
        <f>"397120220607164344107850"</f>
        <v>397120220607164344107850</v>
      </c>
      <c r="C3992" s="4" t="s">
        <v>28</v>
      </c>
      <c r="D3992" s="4" t="str">
        <f>"刘付国丹"</f>
        <v>刘付国丹</v>
      </c>
      <c r="E3992" s="4" t="str">
        <f t="shared" si="154"/>
        <v>女</v>
      </c>
    </row>
    <row r="3993" spans="1:5" ht="30" customHeight="1">
      <c r="A3993" s="4">
        <v>3991</v>
      </c>
      <c r="B3993" s="4" t="str">
        <f>"397120220607164556107870"</f>
        <v>397120220607164556107870</v>
      </c>
      <c r="C3993" s="4" t="s">
        <v>28</v>
      </c>
      <c r="D3993" s="4" t="str">
        <f>"叶卓辉"</f>
        <v>叶卓辉</v>
      </c>
      <c r="E3993" s="4" t="str">
        <f>"男"</f>
        <v>男</v>
      </c>
    </row>
    <row r="3994" spans="1:5" ht="30" customHeight="1">
      <c r="A3994" s="4">
        <v>3992</v>
      </c>
      <c r="B3994" s="4" t="str">
        <f>"397120220607164947107904"</f>
        <v>397120220607164947107904</v>
      </c>
      <c r="C3994" s="4" t="s">
        <v>28</v>
      </c>
      <c r="D3994" s="4" t="str">
        <f>"韩怡娜"</f>
        <v>韩怡娜</v>
      </c>
      <c r="E3994" s="4" t="str">
        <f aca="true" t="shared" si="155" ref="E3994:E4003">"女"</f>
        <v>女</v>
      </c>
    </row>
    <row r="3995" spans="1:5" ht="30" customHeight="1">
      <c r="A3995" s="4">
        <v>3993</v>
      </c>
      <c r="B3995" s="4" t="str">
        <f>"397120220607165327107926"</f>
        <v>397120220607165327107926</v>
      </c>
      <c r="C3995" s="4" t="s">
        <v>28</v>
      </c>
      <c r="D3995" s="4" t="str">
        <f>"林小雪"</f>
        <v>林小雪</v>
      </c>
      <c r="E3995" s="4" t="str">
        <f t="shared" si="155"/>
        <v>女</v>
      </c>
    </row>
    <row r="3996" spans="1:5" ht="30" customHeight="1">
      <c r="A3996" s="4">
        <v>3994</v>
      </c>
      <c r="B3996" s="4" t="str">
        <f>"397120220607165349107934"</f>
        <v>397120220607165349107934</v>
      </c>
      <c r="C3996" s="4" t="s">
        <v>28</v>
      </c>
      <c r="D3996" s="4" t="str">
        <f>"潘玉茹"</f>
        <v>潘玉茹</v>
      </c>
      <c r="E3996" s="4" t="str">
        <f t="shared" si="155"/>
        <v>女</v>
      </c>
    </row>
    <row r="3997" spans="1:5" ht="30" customHeight="1">
      <c r="A3997" s="4">
        <v>3995</v>
      </c>
      <c r="B3997" s="4" t="str">
        <f>"397120220607165856107980"</f>
        <v>397120220607165856107980</v>
      </c>
      <c r="C3997" s="4" t="s">
        <v>28</v>
      </c>
      <c r="D3997" s="4" t="str">
        <f>"裴史玲"</f>
        <v>裴史玲</v>
      </c>
      <c r="E3997" s="4" t="str">
        <f t="shared" si="155"/>
        <v>女</v>
      </c>
    </row>
    <row r="3998" spans="1:5" ht="30" customHeight="1">
      <c r="A3998" s="4">
        <v>3996</v>
      </c>
      <c r="B3998" s="4" t="str">
        <f>"397120220607170126107997"</f>
        <v>397120220607170126107997</v>
      </c>
      <c r="C3998" s="4" t="s">
        <v>28</v>
      </c>
      <c r="D3998" s="4" t="str">
        <f>"王娇婉"</f>
        <v>王娇婉</v>
      </c>
      <c r="E3998" s="4" t="str">
        <f t="shared" si="155"/>
        <v>女</v>
      </c>
    </row>
    <row r="3999" spans="1:5" ht="30" customHeight="1">
      <c r="A3999" s="4">
        <v>3997</v>
      </c>
      <c r="B3999" s="4" t="str">
        <f>"397120220607171143108086"</f>
        <v>397120220607171143108086</v>
      </c>
      <c r="C3999" s="4" t="s">
        <v>28</v>
      </c>
      <c r="D3999" s="4" t="str">
        <f>"郑敦燕"</f>
        <v>郑敦燕</v>
      </c>
      <c r="E3999" s="4" t="str">
        <f t="shared" si="155"/>
        <v>女</v>
      </c>
    </row>
    <row r="4000" spans="1:5" ht="30" customHeight="1">
      <c r="A4000" s="4">
        <v>3998</v>
      </c>
      <c r="B4000" s="4" t="str">
        <f>"397120220607171731108134"</f>
        <v>397120220607171731108134</v>
      </c>
      <c r="C4000" s="4" t="s">
        <v>28</v>
      </c>
      <c r="D4000" s="4" t="str">
        <f>"李丽拉"</f>
        <v>李丽拉</v>
      </c>
      <c r="E4000" s="4" t="str">
        <f t="shared" si="155"/>
        <v>女</v>
      </c>
    </row>
    <row r="4001" spans="1:5" ht="30" customHeight="1">
      <c r="A4001" s="4">
        <v>3999</v>
      </c>
      <c r="B4001" s="4" t="str">
        <f>"397120220607172208108186"</f>
        <v>397120220607172208108186</v>
      </c>
      <c r="C4001" s="4" t="s">
        <v>28</v>
      </c>
      <c r="D4001" s="4" t="str">
        <f>"黄可欣"</f>
        <v>黄可欣</v>
      </c>
      <c r="E4001" s="4" t="str">
        <f t="shared" si="155"/>
        <v>女</v>
      </c>
    </row>
    <row r="4002" spans="1:5" ht="30" customHeight="1">
      <c r="A4002" s="4">
        <v>4000</v>
      </c>
      <c r="B4002" s="4" t="str">
        <f>"397120220607172334108200"</f>
        <v>397120220607172334108200</v>
      </c>
      <c r="C4002" s="4" t="s">
        <v>28</v>
      </c>
      <c r="D4002" s="4" t="str">
        <f>"黄嘉雯"</f>
        <v>黄嘉雯</v>
      </c>
      <c r="E4002" s="4" t="str">
        <f t="shared" si="155"/>
        <v>女</v>
      </c>
    </row>
    <row r="4003" spans="1:5" ht="30" customHeight="1">
      <c r="A4003" s="4">
        <v>4001</v>
      </c>
      <c r="B4003" s="4" t="str">
        <f>"397120220607172415108209"</f>
        <v>397120220607172415108209</v>
      </c>
      <c r="C4003" s="4" t="s">
        <v>28</v>
      </c>
      <c r="D4003" s="4" t="str">
        <f>"罗娇"</f>
        <v>罗娇</v>
      </c>
      <c r="E4003" s="4" t="str">
        <f t="shared" si="155"/>
        <v>女</v>
      </c>
    </row>
    <row r="4004" spans="1:5" ht="30" customHeight="1">
      <c r="A4004" s="4">
        <v>4002</v>
      </c>
      <c r="B4004" s="4" t="str">
        <f>"397120220607172425108210"</f>
        <v>397120220607172425108210</v>
      </c>
      <c r="C4004" s="4" t="s">
        <v>28</v>
      </c>
      <c r="D4004" s="4" t="str">
        <f>"柯维斌"</f>
        <v>柯维斌</v>
      </c>
      <c r="E4004" s="4" t="str">
        <f>"男"</f>
        <v>男</v>
      </c>
    </row>
    <row r="4005" spans="1:5" ht="30" customHeight="1">
      <c r="A4005" s="4">
        <v>4003</v>
      </c>
      <c r="B4005" s="4" t="str">
        <f>"397120220607172439108212"</f>
        <v>397120220607172439108212</v>
      </c>
      <c r="C4005" s="4" t="s">
        <v>28</v>
      </c>
      <c r="D4005" s="4" t="str">
        <f>"钟清容"</f>
        <v>钟清容</v>
      </c>
      <c r="E4005" s="4" t="str">
        <f aca="true" t="shared" si="156" ref="E4005:E4058">"女"</f>
        <v>女</v>
      </c>
    </row>
    <row r="4006" spans="1:5" ht="30" customHeight="1">
      <c r="A4006" s="4">
        <v>4004</v>
      </c>
      <c r="B4006" s="4" t="str">
        <f>"397120220607173155108278"</f>
        <v>397120220607173155108278</v>
      </c>
      <c r="C4006" s="4" t="s">
        <v>28</v>
      </c>
      <c r="D4006" s="4" t="str">
        <f>"王锡紫"</f>
        <v>王锡紫</v>
      </c>
      <c r="E4006" s="4" t="str">
        <f t="shared" si="156"/>
        <v>女</v>
      </c>
    </row>
    <row r="4007" spans="1:5" ht="30" customHeight="1">
      <c r="A4007" s="4">
        <v>4005</v>
      </c>
      <c r="B4007" s="4" t="str">
        <f>"397120220607173211108283"</f>
        <v>397120220607173211108283</v>
      </c>
      <c r="C4007" s="4" t="s">
        <v>28</v>
      </c>
      <c r="D4007" s="4" t="str">
        <f>"梁艳艳"</f>
        <v>梁艳艳</v>
      </c>
      <c r="E4007" s="4" t="str">
        <f t="shared" si="156"/>
        <v>女</v>
      </c>
    </row>
    <row r="4008" spans="1:5" ht="30" customHeight="1">
      <c r="A4008" s="4">
        <v>4006</v>
      </c>
      <c r="B4008" s="4" t="str">
        <f>"397120220607173650108315"</f>
        <v>397120220607173650108315</v>
      </c>
      <c r="C4008" s="4" t="s">
        <v>28</v>
      </c>
      <c r="D4008" s="4" t="str">
        <f>"李皇花"</f>
        <v>李皇花</v>
      </c>
      <c r="E4008" s="4" t="str">
        <f t="shared" si="156"/>
        <v>女</v>
      </c>
    </row>
    <row r="4009" spans="1:5" ht="30" customHeight="1">
      <c r="A4009" s="4">
        <v>4007</v>
      </c>
      <c r="B4009" s="4" t="str">
        <f>"397120220607174051108340"</f>
        <v>397120220607174051108340</v>
      </c>
      <c r="C4009" s="4" t="s">
        <v>28</v>
      </c>
      <c r="D4009" s="4" t="str">
        <f>"王海燕"</f>
        <v>王海燕</v>
      </c>
      <c r="E4009" s="4" t="str">
        <f t="shared" si="156"/>
        <v>女</v>
      </c>
    </row>
    <row r="4010" spans="1:5" ht="30" customHeight="1">
      <c r="A4010" s="4">
        <v>4008</v>
      </c>
      <c r="B4010" s="4" t="str">
        <f>"397120220607174322108354"</f>
        <v>397120220607174322108354</v>
      </c>
      <c r="C4010" s="4" t="s">
        <v>28</v>
      </c>
      <c r="D4010" s="4" t="str">
        <f>"王芳"</f>
        <v>王芳</v>
      </c>
      <c r="E4010" s="4" t="str">
        <f t="shared" si="156"/>
        <v>女</v>
      </c>
    </row>
    <row r="4011" spans="1:5" ht="30" customHeight="1">
      <c r="A4011" s="4">
        <v>4009</v>
      </c>
      <c r="B4011" s="4" t="str">
        <f>"397120220607175000108406"</f>
        <v>397120220607175000108406</v>
      </c>
      <c r="C4011" s="4" t="s">
        <v>28</v>
      </c>
      <c r="D4011" s="4" t="str">
        <f>"王冬玲"</f>
        <v>王冬玲</v>
      </c>
      <c r="E4011" s="4" t="str">
        <f t="shared" si="156"/>
        <v>女</v>
      </c>
    </row>
    <row r="4012" spans="1:5" ht="30" customHeight="1">
      <c r="A4012" s="4">
        <v>4010</v>
      </c>
      <c r="B4012" s="4" t="str">
        <f>"397120220607175126108415"</f>
        <v>397120220607175126108415</v>
      </c>
      <c r="C4012" s="4" t="s">
        <v>28</v>
      </c>
      <c r="D4012" s="4" t="str">
        <f>"徐怡娴"</f>
        <v>徐怡娴</v>
      </c>
      <c r="E4012" s="4" t="str">
        <f t="shared" si="156"/>
        <v>女</v>
      </c>
    </row>
    <row r="4013" spans="1:5" ht="30" customHeight="1">
      <c r="A4013" s="4">
        <v>4011</v>
      </c>
      <c r="B4013" s="4" t="str">
        <f>"397120220607175303108430"</f>
        <v>397120220607175303108430</v>
      </c>
      <c r="C4013" s="4" t="s">
        <v>28</v>
      </c>
      <c r="D4013" s="4" t="str">
        <f>"王艺婉"</f>
        <v>王艺婉</v>
      </c>
      <c r="E4013" s="4" t="str">
        <f t="shared" si="156"/>
        <v>女</v>
      </c>
    </row>
    <row r="4014" spans="1:5" ht="30" customHeight="1">
      <c r="A4014" s="4">
        <v>4012</v>
      </c>
      <c r="B4014" s="4" t="str">
        <f>"397120220607180149108487"</f>
        <v>397120220607180149108487</v>
      </c>
      <c r="C4014" s="4" t="s">
        <v>28</v>
      </c>
      <c r="D4014" s="4" t="str">
        <f>"陈思豆"</f>
        <v>陈思豆</v>
      </c>
      <c r="E4014" s="4" t="str">
        <f t="shared" si="156"/>
        <v>女</v>
      </c>
    </row>
    <row r="4015" spans="1:5" ht="30" customHeight="1">
      <c r="A4015" s="4">
        <v>4013</v>
      </c>
      <c r="B4015" s="4" t="str">
        <f>"397120220607180713108521"</f>
        <v>397120220607180713108521</v>
      </c>
      <c r="C4015" s="4" t="s">
        <v>28</v>
      </c>
      <c r="D4015" s="4" t="str">
        <f>"吴晓雪"</f>
        <v>吴晓雪</v>
      </c>
      <c r="E4015" s="4" t="str">
        <f t="shared" si="156"/>
        <v>女</v>
      </c>
    </row>
    <row r="4016" spans="1:5" ht="30" customHeight="1">
      <c r="A4016" s="4">
        <v>4014</v>
      </c>
      <c r="B4016" s="4" t="str">
        <f>"397120220607180806108531"</f>
        <v>397120220607180806108531</v>
      </c>
      <c r="C4016" s="4" t="s">
        <v>28</v>
      </c>
      <c r="D4016" s="4" t="str">
        <f>"黄金秋"</f>
        <v>黄金秋</v>
      </c>
      <c r="E4016" s="4" t="str">
        <f t="shared" si="156"/>
        <v>女</v>
      </c>
    </row>
    <row r="4017" spans="1:5" ht="30" customHeight="1">
      <c r="A4017" s="4">
        <v>4015</v>
      </c>
      <c r="B4017" s="4" t="str">
        <f>"397120220607181451108565"</f>
        <v>397120220607181451108565</v>
      </c>
      <c r="C4017" s="4" t="s">
        <v>28</v>
      </c>
      <c r="D4017" s="4" t="str">
        <f>"孙显敏"</f>
        <v>孙显敏</v>
      </c>
      <c r="E4017" s="4" t="str">
        <f t="shared" si="156"/>
        <v>女</v>
      </c>
    </row>
    <row r="4018" spans="1:5" ht="30" customHeight="1">
      <c r="A4018" s="4">
        <v>4016</v>
      </c>
      <c r="B4018" s="4" t="str">
        <f>"397120220607181558108574"</f>
        <v>397120220607181558108574</v>
      </c>
      <c r="C4018" s="4" t="s">
        <v>28</v>
      </c>
      <c r="D4018" s="4" t="str">
        <f>"吴思思"</f>
        <v>吴思思</v>
      </c>
      <c r="E4018" s="4" t="str">
        <f t="shared" si="156"/>
        <v>女</v>
      </c>
    </row>
    <row r="4019" spans="1:5" ht="30" customHeight="1">
      <c r="A4019" s="4">
        <v>4017</v>
      </c>
      <c r="B4019" s="4" t="str">
        <f>"397120220607182654108652"</f>
        <v>397120220607182654108652</v>
      </c>
      <c r="C4019" s="4" t="s">
        <v>28</v>
      </c>
      <c r="D4019" s="4" t="str">
        <f>"黄春满"</f>
        <v>黄春满</v>
      </c>
      <c r="E4019" s="4" t="str">
        <f t="shared" si="156"/>
        <v>女</v>
      </c>
    </row>
    <row r="4020" spans="1:5" ht="30" customHeight="1">
      <c r="A4020" s="4">
        <v>4018</v>
      </c>
      <c r="B4020" s="4" t="str">
        <f>"397120220607183411108691"</f>
        <v>397120220607183411108691</v>
      </c>
      <c r="C4020" s="4" t="s">
        <v>28</v>
      </c>
      <c r="D4020" s="4" t="str">
        <f>"黄甜英"</f>
        <v>黄甜英</v>
      </c>
      <c r="E4020" s="4" t="str">
        <f t="shared" si="156"/>
        <v>女</v>
      </c>
    </row>
    <row r="4021" spans="1:5" ht="30" customHeight="1">
      <c r="A4021" s="4">
        <v>4019</v>
      </c>
      <c r="B4021" s="4" t="str">
        <f>"397120220607184206108738"</f>
        <v>397120220607184206108738</v>
      </c>
      <c r="C4021" s="4" t="s">
        <v>28</v>
      </c>
      <c r="D4021" s="4" t="str">
        <f>"林翠"</f>
        <v>林翠</v>
      </c>
      <c r="E4021" s="4" t="str">
        <f t="shared" si="156"/>
        <v>女</v>
      </c>
    </row>
    <row r="4022" spans="1:5" ht="30" customHeight="1">
      <c r="A4022" s="4">
        <v>4020</v>
      </c>
      <c r="B4022" s="4" t="str">
        <f>"397120220607184228108739"</f>
        <v>397120220607184228108739</v>
      </c>
      <c r="C4022" s="4" t="s">
        <v>28</v>
      </c>
      <c r="D4022" s="4" t="str">
        <f>"张强丽"</f>
        <v>张强丽</v>
      </c>
      <c r="E4022" s="4" t="str">
        <f t="shared" si="156"/>
        <v>女</v>
      </c>
    </row>
    <row r="4023" spans="1:5" ht="30" customHeight="1">
      <c r="A4023" s="4">
        <v>4021</v>
      </c>
      <c r="B4023" s="4" t="str">
        <f>"397120220607184615108770"</f>
        <v>397120220607184615108770</v>
      </c>
      <c r="C4023" s="4" t="s">
        <v>28</v>
      </c>
      <c r="D4023" s="4" t="str">
        <f>"符玉芬"</f>
        <v>符玉芬</v>
      </c>
      <c r="E4023" s="4" t="str">
        <f t="shared" si="156"/>
        <v>女</v>
      </c>
    </row>
    <row r="4024" spans="1:5" ht="30" customHeight="1">
      <c r="A4024" s="4">
        <v>4022</v>
      </c>
      <c r="B4024" s="4" t="str">
        <f>"397120220607184713108774"</f>
        <v>397120220607184713108774</v>
      </c>
      <c r="C4024" s="4" t="s">
        <v>28</v>
      </c>
      <c r="D4024" s="4" t="str">
        <f>"蔡碧霜"</f>
        <v>蔡碧霜</v>
      </c>
      <c r="E4024" s="4" t="str">
        <f t="shared" si="156"/>
        <v>女</v>
      </c>
    </row>
    <row r="4025" spans="1:5" ht="30" customHeight="1">
      <c r="A4025" s="4">
        <v>4023</v>
      </c>
      <c r="B4025" s="4" t="str">
        <f>"397120220607185808108835"</f>
        <v>397120220607185808108835</v>
      </c>
      <c r="C4025" s="4" t="s">
        <v>28</v>
      </c>
      <c r="D4025" s="4" t="str">
        <f>"黄文娟"</f>
        <v>黄文娟</v>
      </c>
      <c r="E4025" s="4" t="str">
        <f t="shared" si="156"/>
        <v>女</v>
      </c>
    </row>
    <row r="4026" spans="1:5" ht="30" customHeight="1">
      <c r="A4026" s="4">
        <v>4024</v>
      </c>
      <c r="B4026" s="4" t="str">
        <f>"397120220607190206108851"</f>
        <v>397120220607190206108851</v>
      </c>
      <c r="C4026" s="4" t="s">
        <v>28</v>
      </c>
      <c r="D4026" s="4" t="str">
        <f>"钟娜"</f>
        <v>钟娜</v>
      </c>
      <c r="E4026" s="4" t="str">
        <f t="shared" si="156"/>
        <v>女</v>
      </c>
    </row>
    <row r="4027" spans="1:5" ht="30" customHeight="1">
      <c r="A4027" s="4">
        <v>4025</v>
      </c>
      <c r="B4027" s="4" t="str">
        <f>"397120220607190446108864"</f>
        <v>397120220607190446108864</v>
      </c>
      <c r="C4027" s="4" t="s">
        <v>28</v>
      </c>
      <c r="D4027" s="4" t="str">
        <f>"刘娅妮"</f>
        <v>刘娅妮</v>
      </c>
      <c r="E4027" s="4" t="str">
        <f t="shared" si="156"/>
        <v>女</v>
      </c>
    </row>
    <row r="4028" spans="1:5" ht="30" customHeight="1">
      <c r="A4028" s="4">
        <v>4026</v>
      </c>
      <c r="B4028" s="4" t="str">
        <f>"397120220607191214108898"</f>
        <v>397120220607191214108898</v>
      </c>
      <c r="C4028" s="4" t="s">
        <v>28</v>
      </c>
      <c r="D4028" s="4" t="str">
        <f>"金娜"</f>
        <v>金娜</v>
      </c>
      <c r="E4028" s="4" t="str">
        <f t="shared" si="156"/>
        <v>女</v>
      </c>
    </row>
    <row r="4029" spans="1:5" ht="30" customHeight="1">
      <c r="A4029" s="4">
        <v>4027</v>
      </c>
      <c r="B4029" s="4" t="str">
        <f>"397120220607192105108944"</f>
        <v>397120220607192105108944</v>
      </c>
      <c r="C4029" s="4" t="s">
        <v>28</v>
      </c>
      <c r="D4029" s="4" t="str">
        <f>"吴艳"</f>
        <v>吴艳</v>
      </c>
      <c r="E4029" s="4" t="str">
        <f t="shared" si="156"/>
        <v>女</v>
      </c>
    </row>
    <row r="4030" spans="1:5" ht="30" customHeight="1">
      <c r="A4030" s="4">
        <v>4028</v>
      </c>
      <c r="B4030" s="4" t="str">
        <f>"397120220607192639108992"</f>
        <v>397120220607192639108992</v>
      </c>
      <c r="C4030" s="4" t="s">
        <v>28</v>
      </c>
      <c r="D4030" s="4" t="str">
        <f>"李颖"</f>
        <v>李颖</v>
      </c>
      <c r="E4030" s="4" t="str">
        <f t="shared" si="156"/>
        <v>女</v>
      </c>
    </row>
    <row r="4031" spans="1:5" ht="30" customHeight="1">
      <c r="A4031" s="4">
        <v>4029</v>
      </c>
      <c r="B4031" s="4" t="str">
        <f>"397120220607192652108994"</f>
        <v>397120220607192652108994</v>
      </c>
      <c r="C4031" s="4" t="s">
        <v>28</v>
      </c>
      <c r="D4031" s="4" t="str">
        <f>"陈甜甜"</f>
        <v>陈甜甜</v>
      </c>
      <c r="E4031" s="4" t="str">
        <f t="shared" si="156"/>
        <v>女</v>
      </c>
    </row>
    <row r="4032" spans="1:5" ht="30" customHeight="1">
      <c r="A4032" s="4">
        <v>4030</v>
      </c>
      <c r="B4032" s="4" t="str">
        <f>"397120220607193459109045"</f>
        <v>397120220607193459109045</v>
      </c>
      <c r="C4032" s="4" t="s">
        <v>28</v>
      </c>
      <c r="D4032" s="4" t="str">
        <f>"黄慧"</f>
        <v>黄慧</v>
      </c>
      <c r="E4032" s="4" t="str">
        <f t="shared" si="156"/>
        <v>女</v>
      </c>
    </row>
    <row r="4033" spans="1:5" ht="30" customHeight="1">
      <c r="A4033" s="4">
        <v>4031</v>
      </c>
      <c r="B4033" s="4" t="str">
        <f>"397120220607193626109055"</f>
        <v>397120220607193626109055</v>
      </c>
      <c r="C4033" s="4" t="s">
        <v>28</v>
      </c>
      <c r="D4033" s="4" t="str">
        <f>"张亚琼"</f>
        <v>张亚琼</v>
      </c>
      <c r="E4033" s="4" t="str">
        <f t="shared" si="156"/>
        <v>女</v>
      </c>
    </row>
    <row r="4034" spans="1:5" ht="30" customHeight="1">
      <c r="A4034" s="4">
        <v>4032</v>
      </c>
      <c r="B4034" s="4" t="str">
        <f>"397120220607195457109171"</f>
        <v>397120220607195457109171</v>
      </c>
      <c r="C4034" s="4" t="s">
        <v>28</v>
      </c>
      <c r="D4034" s="4" t="str">
        <f>"符辉玉"</f>
        <v>符辉玉</v>
      </c>
      <c r="E4034" s="4" t="str">
        <f t="shared" si="156"/>
        <v>女</v>
      </c>
    </row>
    <row r="4035" spans="1:5" ht="30" customHeight="1">
      <c r="A4035" s="4">
        <v>4033</v>
      </c>
      <c r="B4035" s="4" t="str">
        <f>"397120220607203638109415"</f>
        <v>397120220607203638109415</v>
      </c>
      <c r="C4035" s="4" t="s">
        <v>28</v>
      </c>
      <c r="D4035" s="4" t="str">
        <f>"潘少红"</f>
        <v>潘少红</v>
      </c>
      <c r="E4035" s="4" t="str">
        <f t="shared" si="156"/>
        <v>女</v>
      </c>
    </row>
    <row r="4036" spans="1:5" ht="30" customHeight="1">
      <c r="A4036" s="4">
        <v>4034</v>
      </c>
      <c r="B4036" s="4" t="str">
        <f>"397120220607204621109486"</f>
        <v>397120220607204621109486</v>
      </c>
      <c r="C4036" s="4" t="s">
        <v>28</v>
      </c>
      <c r="D4036" s="4" t="str">
        <f>"唐倩倩"</f>
        <v>唐倩倩</v>
      </c>
      <c r="E4036" s="4" t="str">
        <f t="shared" si="156"/>
        <v>女</v>
      </c>
    </row>
    <row r="4037" spans="1:5" ht="30" customHeight="1">
      <c r="A4037" s="4">
        <v>4035</v>
      </c>
      <c r="B4037" s="4" t="str">
        <f>"397120220607204627109487"</f>
        <v>397120220607204627109487</v>
      </c>
      <c r="C4037" s="4" t="s">
        <v>28</v>
      </c>
      <c r="D4037" s="4" t="str">
        <f>"梅文雪"</f>
        <v>梅文雪</v>
      </c>
      <c r="E4037" s="4" t="str">
        <f t="shared" si="156"/>
        <v>女</v>
      </c>
    </row>
    <row r="4038" spans="1:5" ht="30" customHeight="1">
      <c r="A4038" s="4">
        <v>4036</v>
      </c>
      <c r="B4038" s="4" t="str">
        <f>"397120220607204713109492"</f>
        <v>397120220607204713109492</v>
      </c>
      <c r="C4038" s="4" t="s">
        <v>28</v>
      </c>
      <c r="D4038" s="4" t="str">
        <f>"黄裕花"</f>
        <v>黄裕花</v>
      </c>
      <c r="E4038" s="4" t="str">
        <f t="shared" si="156"/>
        <v>女</v>
      </c>
    </row>
    <row r="4039" spans="1:5" ht="30" customHeight="1">
      <c r="A4039" s="4">
        <v>4037</v>
      </c>
      <c r="B4039" s="4" t="str">
        <f>"397120220607205325109528"</f>
        <v>397120220607205325109528</v>
      </c>
      <c r="C4039" s="4" t="s">
        <v>28</v>
      </c>
      <c r="D4039" s="4" t="str">
        <f>"梁饶予"</f>
        <v>梁饶予</v>
      </c>
      <c r="E4039" s="4" t="str">
        <f t="shared" si="156"/>
        <v>女</v>
      </c>
    </row>
    <row r="4040" spans="1:5" ht="30" customHeight="1">
      <c r="A4040" s="4">
        <v>4038</v>
      </c>
      <c r="B4040" s="4" t="str">
        <f>"397120220607210012109580"</f>
        <v>397120220607210012109580</v>
      </c>
      <c r="C4040" s="4" t="s">
        <v>28</v>
      </c>
      <c r="D4040" s="4" t="str">
        <f>"林红杏"</f>
        <v>林红杏</v>
      </c>
      <c r="E4040" s="4" t="str">
        <f t="shared" si="156"/>
        <v>女</v>
      </c>
    </row>
    <row r="4041" spans="1:5" ht="30" customHeight="1">
      <c r="A4041" s="4">
        <v>4039</v>
      </c>
      <c r="B4041" s="4" t="str">
        <f>"397120220607211605109723"</f>
        <v>397120220607211605109723</v>
      </c>
      <c r="C4041" s="4" t="s">
        <v>28</v>
      </c>
      <c r="D4041" s="4" t="str">
        <f>"林尹一"</f>
        <v>林尹一</v>
      </c>
      <c r="E4041" s="4" t="str">
        <f t="shared" si="156"/>
        <v>女</v>
      </c>
    </row>
    <row r="4042" spans="1:5" ht="30" customHeight="1">
      <c r="A4042" s="4">
        <v>4040</v>
      </c>
      <c r="B4042" s="4" t="str">
        <f>"397120220607211829109747"</f>
        <v>397120220607211829109747</v>
      </c>
      <c r="C4042" s="4" t="s">
        <v>28</v>
      </c>
      <c r="D4042" s="4" t="str">
        <f>"王喻"</f>
        <v>王喻</v>
      </c>
      <c r="E4042" s="4" t="str">
        <f t="shared" si="156"/>
        <v>女</v>
      </c>
    </row>
    <row r="4043" spans="1:5" ht="30" customHeight="1">
      <c r="A4043" s="4">
        <v>4041</v>
      </c>
      <c r="B4043" s="4" t="str">
        <f>"397120220607213437109877"</f>
        <v>397120220607213437109877</v>
      </c>
      <c r="C4043" s="4" t="s">
        <v>28</v>
      </c>
      <c r="D4043" s="4" t="str">
        <f>"刘佳琪"</f>
        <v>刘佳琪</v>
      </c>
      <c r="E4043" s="4" t="str">
        <f t="shared" si="156"/>
        <v>女</v>
      </c>
    </row>
    <row r="4044" spans="1:5" ht="30" customHeight="1">
      <c r="A4044" s="4">
        <v>4042</v>
      </c>
      <c r="B4044" s="4" t="str">
        <f>"397120220607214021109913"</f>
        <v>397120220607214021109913</v>
      </c>
      <c r="C4044" s="4" t="s">
        <v>28</v>
      </c>
      <c r="D4044" s="4" t="str">
        <f>"盛姝睿"</f>
        <v>盛姝睿</v>
      </c>
      <c r="E4044" s="4" t="str">
        <f t="shared" si="156"/>
        <v>女</v>
      </c>
    </row>
    <row r="4045" spans="1:5" ht="30" customHeight="1">
      <c r="A4045" s="4">
        <v>4043</v>
      </c>
      <c r="B4045" s="4" t="str">
        <f>"397120220607214435109944"</f>
        <v>397120220607214435109944</v>
      </c>
      <c r="C4045" s="4" t="s">
        <v>28</v>
      </c>
      <c r="D4045" s="4" t="str">
        <f>"郭琼花"</f>
        <v>郭琼花</v>
      </c>
      <c r="E4045" s="4" t="str">
        <f t="shared" si="156"/>
        <v>女</v>
      </c>
    </row>
    <row r="4046" spans="1:5" ht="30" customHeight="1">
      <c r="A4046" s="4">
        <v>4044</v>
      </c>
      <c r="B4046" s="4" t="str">
        <f>"397120220607214823109971"</f>
        <v>397120220607214823109971</v>
      </c>
      <c r="C4046" s="4" t="s">
        <v>28</v>
      </c>
      <c r="D4046" s="4" t="str">
        <f>"高芳莉"</f>
        <v>高芳莉</v>
      </c>
      <c r="E4046" s="4" t="str">
        <f t="shared" si="156"/>
        <v>女</v>
      </c>
    </row>
    <row r="4047" spans="1:5" ht="30" customHeight="1">
      <c r="A4047" s="4">
        <v>4045</v>
      </c>
      <c r="B4047" s="4" t="str">
        <f>"397120220607215437110014"</f>
        <v>397120220607215437110014</v>
      </c>
      <c r="C4047" s="4" t="s">
        <v>28</v>
      </c>
      <c r="D4047" s="4" t="str">
        <f>"陈梅平"</f>
        <v>陈梅平</v>
      </c>
      <c r="E4047" s="4" t="str">
        <f t="shared" si="156"/>
        <v>女</v>
      </c>
    </row>
    <row r="4048" spans="1:5" ht="30" customHeight="1">
      <c r="A4048" s="4">
        <v>4046</v>
      </c>
      <c r="B4048" s="4" t="str">
        <f>"397120220607215943110047"</f>
        <v>397120220607215943110047</v>
      </c>
      <c r="C4048" s="4" t="s">
        <v>28</v>
      </c>
      <c r="D4048" s="4" t="str">
        <f>"陈少云"</f>
        <v>陈少云</v>
      </c>
      <c r="E4048" s="4" t="str">
        <f t="shared" si="156"/>
        <v>女</v>
      </c>
    </row>
    <row r="4049" spans="1:5" ht="30" customHeight="1">
      <c r="A4049" s="4">
        <v>4047</v>
      </c>
      <c r="B4049" s="4" t="str">
        <f>"397120220607221633110155"</f>
        <v>397120220607221633110155</v>
      </c>
      <c r="C4049" s="4" t="s">
        <v>28</v>
      </c>
      <c r="D4049" s="4" t="str">
        <f>"陈小琪"</f>
        <v>陈小琪</v>
      </c>
      <c r="E4049" s="4" t="str">
        <f t="shared" si="156"/>
        <v>女</v>
      </c>
    </row>
    <row r="4050" spans="1:5" ht="30" customHeight="1">
      <c r="A4050" s="4">
        <v>4048</v>
      </c>
      <c r="B4050" s="4" t="str">
        <f>"397120220607222601110225"</f>
        <v>397120220607222601110225</v>
      </c>
      <c r="C4050" s="4" t="s">
        <v>28</v>
      </c>
      <c r="D4050" s="4" t="str">
        <f>"吴梦娴"</f>
        <v>吴梦娴</v>
      </c>
      <c r="E4050" s="4" t="str">
        <f t="shared" si="156"/>
        <v>女</v>
      </c>
    </row>
    <row r="4051" spans="1:5" ht="30" customHeight="1">
      <c r="A4051" s="4">
        <v>4049</v>
      </c>
      <c r="B4051" s="4" t="str">
        <f>"397120220607222801110243"</f>
        <v>397120220607222801110243</v>
      </c>
      <c r="C4051" s="4" t="s">
        <v>28</v>
      </c>
      <c r="D4051" s="4" t="str">
        <f>"傅春露"</f>
        <v>傅春露</v>
      </c>
      <c r="E4051" s="4" t="str">
        <f t="shared" si="156"/>
        <v>女</v>
      </c>
    </row>
    <row r="4052" spans="1:5" ht="30" customHeight="1">
      <c r="A4052" s="4">
        <v>4050</v>
      </c>
      <c r="B4052" s="4" t="str">
        <f>"397120220607223129110271"</f>
        <v>397120220607223129110271</v>
      </c>
      <c r="C4052" s="4" t="s">
        <v>28</v>
      </c>
      <c r="D4052" s="4" t="str">
        <f>"王伟琪"</f>
        <v>王伟琪</v>
      </c>
      <c r="E4052" s="4" t="str">
        <f t="shared" si="156"/>
        <v>女</v>
      </c>
    </row>
    <row r="4053" spans="1:5" ht="30" customHeight="1">
      <c r="A4053" s="4">
        <v>4051</v>
      </c>
      <c r="B4053" s="4" t="str">
        <f>"397120220607223838110310"</f>
        <v>397120220607223838110310</v>
      </c>
      <c r="C4053" s="4" t="s">
        <v>28</v>
      </c>
      <c r="D4053" s="4" t="str">
        <f>"王庆丽"</f>
        <v>王庆丽</v>
      </c>
      <c r="E4053" s="4" t="str">
        <f t="shared" si="156"/>
        <v>女</v>
      </c>
    </row>
    <row r="4054" spans="1:5" ht="30" customHeight="1">
      <c r="A4054" s="4">
        <v>4052</v>
      </c>
      <c r="B4054" s="4" t="str">
        <f>"397120220607224406110339"</f>
        <v>397120220607224406110339</v>
      </c>
      <c r="C4054" s="4" t="s">
        <v>28</v>
      </c>
      <c r="D4054" s="4" t="str">
        <f>"罗小珍"</f>
        <v>罗小珍</v>
      </c>
      <c r="E4054" s="4" t="str">
        <f t="shared" si="156"/>
        <v>女</v>
      </c>
    </row>
    <row r="4055" spans="1:5" ht="30" customHeight="1">
      <c r="A4055" s="4">
        <v>4053</v>
      </c>
      <c r="B4055" s="4" t="str">
        <f>"397120220607224731110356"</f>
        <v>397120220607224731110356</v>
      </c>
      <c r="C4055" s="4" t="s">
        <v>28</v>
      </c>
      <c r="D4055" s="4" t="str">
        <f>"陈洁银"</f>
        <v>陈洁银</v>
      </c>
      <c r="E4055" s="4" t="str">
        <f t="shared" si="156"/>
        <v>女</v>
      </c>
    </row>
    <row r="4056" spans="1:5" ht="30" customHeight="1">
      <c r="A4056" s="4">
        <v>4054</v>
      </c>
      <c r="B4056" s="4" t="str">
        <f>"397120220607225408110393"</f>
        <v>397120220607225408110393</v>
      </c>
      <c r="C4056" s="4" t="s">
        <v>28</v>
      </c>
      <c r="D4056" s="4" t="str">
        <f>"夏亚玉"</f>
        <v>夏亚玉</v>
      </c>
      <c r="E4056" s="4" t="str">
        <f t="shared" si="156"/>
        <v>女</v>
      </c>
    </row>
    <row r="4057" spans="1:5" ht="30" customHeight="1">
      <c r="A4057" s="4">
        <v>4055</v>
      </c>
      <c r="B4057" s="4" t="str">
        <f>"397120220607225456110400"</f>
        <v>397120220607225456110400</v>
      </c>
      <c r="C4057" s="4" t="s">
        <v>28</v>
      </c>
      <c r="D4057" s="4" t="str">
        <f>"李昕"</f>
        <v>李昕</v>
      </c>
      <c r="E4057" s="4" t="str">
        <f t="shared" si="156"/>
        <v>女</v>
      </c>
    </row>
    <row r="4058" spans="1:5" ht="30" customHeight="1">
      <c r="A4058" s="4">
        <v>4056</v>
      </c>
      <c r="B4058" s="4" t="str">
        <f>"397120220607230916110461"</f>
        <v>397120220607230916110461</v>
      </c>
      <c r="C4058" s="4" t="s">
        <v>28</v>
      </c>
      <c r="D4058" s="4" t="str">
        <f>"王小莉"</f>
        <v>王小莉</v>
      </c>
      <c r="E4058" s="4" t="str">
        <f t="shared" si="156"/>
        <v>女</v>
      </c>
    </row>
    <row r="4059" spans="1:5" ht="30" customHeight="1">
      <c r="A4059" s="4">
        <v>4057</v>
      </c>
      <c r="B4059" s="4" t="str">
        <f>"397120220607232331110501"</f>
        <v>397120220607232331110501</v>
      </c>
      <c r="C4059" s="4" t="s">
        <v>28</v>
      </c>
      <c r="D4059" s="4" t="str">
        <f>"王刚"</f>
        <v>王刚</v>
      </c>
      <c r="E4059" s="4" t="str">
        <f>"男"</f>
        <v>男</v>
      </c>
    </row>
    <row r="4060" spans="1:5" ht="30" customHeight="1">
      <c r="A4060" s="4">
        <v>4058</v>
      </c>
      <c r="B4060" s="4" t="str">
        <f>"397120220607233028110524"</f>
        <v>397120220607233028110524</v>
      </c>
      <c r="C4060" s="4" t="s">
        <v>28</v>
      </c>
      <c r="D4060" s="4" t="str">
        <f>"莫品晶"</f>
        <v>莫品晶</v>
      </c>
      <c r="E4060" s="4" t="str">
        <f aca="true" t="shared" si="157" ref="E4060:E4086">"女"</f>
        <v>女</v>
      </c>
    </row>
    <row r="4061" spans="1:5" ht="30" customHeight="1">
      <c r="A4061" s="4">
        <v>4059</v>
      </c>
      <c r="B4061" s="4" t="str">
        <f>"397120220607234442110576"</f>
        <v>397120220607234442110576</v>
      </c>
      <c r="C4061" s="4" t="s">
        <v>28</v>
      </c>
      <c r="D4061" s="4" t="str">
        <f>"王丽莹"</f>
        <v>王丽莹</v>
      </c>
      <c r="E4061" s="4" t="str">
        <f t="shared" si="157"/>
        <v>女</v>
      </c>
    </row>
    <row r="4062" spans="1:5" ht="30" customHeight="1">
      <c r="A4062" s="4">
        <v>4060</v>
      </c>
      <c r="B4062" s="4" t="str">
        <f>"397120220608001628110639"</f>
        <v>397120220608001628110639</v>
      </c>
      <c r="C4062" s="4" t="s">
        <v>28</v>
      </c>
      <c r="D4062" s="4" t="str">
        <f>"王莹莹"</f>
        <v>王莹莹</v>
      </c>
      <c r="E4062" s="4" t="str">
        <f t="shared" si="157"/>
        <v>女</v>
      </c>
    </row>
    <row r="4063" spans="1:5" ht="30" customHeight="1">
      <c r="A4063" s="4">
        <v>4061</v>
      </c>
      <c r="B4063" s="4" t="str">
        <f>"397120220608002730110663"</f>
        <v>397120220608002730110663</v>
      </c>
      <c r="C4063" s="4" t="s">
        <v>28</v>
      </c>
      <c r="D4063" s="4" t="str">
        <f>"施敏"</f>
        <v>施敏</v>
      </c>
      <c r="E4063" s="4" t="str">
        <f t="shared" si="157"/>
        <v>女</v>
      </c>
    </row>
    <row r="4064" spans="1:5" ht="30" customHeight="1">
      <c r="A4064" s="4">
        <v>4062</v>
      </c>
      <c r="B4064" s="4" t="str">
        <f>"397120220608003612110681"</f>
        <v>397120220608003612110681</v>
      </c>
      <c r="C4064" s="4" t="s">
        <v>28</v>
      </c>
      <c r="D4064" s="4" t="str">
        <f>"宁云"</f>
        <v>宁云</v>
      </c>
      <c r="E4064" s="4" t="str">
        <f t="shared" si="157"/>
        <v>女</v>
      </c>
    </row>
    <row r="4065" spans="1:5" ht="30" customHeight="1">
      <c r="A4065" s="4">
        <v>4063</v>
      </c>
      <c r="B4065" s="4" t="str">
        <f>"397120220608035816110752"</f>
        <v>397120220608035816110752</v>
      </c>
      <c r="C4065" s="4" t="s">
        <v>28</v>
      </c>
      <c r="D4065" s="4" t="str">
        <f>"赵菊瑞"</f>
        <v>赵菊瑞</v>
      </c>
      <c r="E4065" s="4" t="str">
        <f t="shared" si="157"/>
        <v>女</v>
      </c>
    </row>
    <row r="4066" spans="1:5" ht="30" customHeight="1">
      <c r="A4066" s="4">
        <v>4064</v>
      </c>
      <c r="B4066" s="4" t="str">
        <f>"397120220608065203110785"</f>
        <v>397120220608065203110785</v>
      </c>
      <c r="C4066" s="4" t="s">
        <v>28</v>
      </c>
      <c r="D4066" s="4" t="str">
        <f>"刘咪雪"</f>
        <v>刘咪雪</v>
      </c>
      <c r="E4066" s="4" t="str">
        <f t="shared" si="157"/>
        <v>女</v>
      </c>
    </row>
    <row r="4067" spans="1:5" ht="30" customHeight="1">
      <c r="A4067" s="4">
        <v>4065</v>
      </c>
      <c r="B4067" s="4" t="str">
        <f>"397120220608070011110789"</f>
        <v>397120220608070011110789</v>
      </c>
      <c r="C4067" s="4" t="s">
        <v>28</v>
      </c>
      <c r="D4067" s="4" t="str">
        <f>"徐淑萍"</f>
        <v>徐淑萍</v>
      </c>
      <c r="E4067" s="4" t="str">
        <f t="shared" si="157"/>
        <v>女</v>
      </c>
    </row>
    <row r="4068" spans="1:5" ht="30" customHeight="1">
      <c r="A4068" s="4">
        <v>4066</v>
      </c>
      <c r="B4068" s="4" t="str">
        <f>"397120220608070808110799"</f>
        <v>397120220608070808110799</v>
      </c>
      <c r="C4068" s="4" t="s">
        <v>28</v>
      </c>
      <c r="D4068" s="4" t="str">
        <f>"王俊莉"</f>
        <v>王俊莉</v>
      </c>
      <c r="E4068" s="4" t="str">
        <f t="shared" si="157"/>
        <v>女</v>
      </c>
    </row>
    <row r="4069" spans="1:5" ht="30" customHeight="1">
      <c r="A4069" s="4">
        <v>4067</v>
      </c>
      <c r="B4069" s="4" t="str">
        <f>"397120220608080112110861"</f>
        <v>397120220608080112110861</v>
      </c>
      <c r="C4069" s="4" t="s">
        <v>28</v>
      </c>
      <c r="D4069" s="4" t="str">
        <f>"龙泽来"</f>
        <v>龙泽来</v>
      </c>
      <c r="E4069" s="4" t="str">
        <f t="shared" si="157"/>
        <v>女</v>
      </c>
    </row>
    <row r="4070" spans="1:5" ht="30" customHeight="1">
      <c r="A4070" s="4">
        <v>4068</v>
      </c>
      <c r="B4070" s="4" t="str">
        <f>"397120220608084846111119"</f>
        <v>397120220608084846111119</v>
      </c>
      <c r="C4070" s="4" t="s">
        <v>28</v>
      </c>
      <c r="D4070" s="4" t="str">
        <f>"方雅婷"</f>
        <v>方雅婷</v>
      </c>
      <c r="E4070" s="4" t="str">
        <f t="shared" si="157"/>
        <v>女</v>
      </c>
    </row>
    <row r="4071" spans="1:5" ht="30" customHeight="1">
      <c r="A4071" s="4">
        <v>4069</v>
      </c>
      <c r="B4071" s="4" t="str">
        <f>"397120220608091507111317"</f>
        <v>397120220608091507111317</v>
      </c>
      <c r="C4071" s="4" t="s">
        <v>28</v>
      </c>
      <c r="D4071" s="4" t="str">
        <f>"陈爱玉"</f>
        <v>陈爱玉</v>
      </c>
      <c r="E4071" s="4" t="str">
        <f t="shared" si="157"/>
        <v>女</v>
      </c>
    </row>
    <row r="4072" spans="1:5" ht="30" customHeight="1">
      <c r="A4072" s="4">
        <v>4070</v>
      </c>
      <c r="B4072" s="4" t="str">
        <f>"397120220608092053111361"</f>
        <v>397120220608092053111361</v>
      </c>
      <c r="C4072" s="4" t="s">
        <v>28</v>
      </c>
      <c r="D4072" s="4" t="str">
        <f>"梁小茜"</f>
        <v>梁小茜</v>
      </c>
      <c r="E4072" s="4" t="str">
        <f t="shared" si="157"/>
        <v>女</v>
      </c>
    </row>
    <row r="4073" spans="1:5" ht="30" customHeight="1">
      <c r="A4073" s="4">
        <v>4071</v>
      </c>
      <c r="B4073" s="4" t="str">
        <f>"397120220608095559111657"</f>
        <v>397120220608095559111657</v>
      </c>
      <c r="C4073" s="4" t="s">
        <v>28</v>
      </c>
      <c r="D4073" s="4" t="str">
        <f>"彭小雪"</f>
        <v>彭小雪</v>
      </c>
      <c r="E4073" s="4" t="str">
        <f t="shared" si="157"/>
        <v>女</v>
      </c>
    </row>
    <row r="4074" spans="1:5" ht="30" customHeight="1">
      <c r="A4074" s="4">
        <v>4072</v>
      </c>
      <c r="B4074" s="4" t="str">
        <f>"397120220608095623111660"</f>
        <v>397120220608095623111660</v>
      </c>
      <c r="C4074" s="4" t="s">
        <v>28</v>
      </c>
      <c r="D4074" s="4" t="str">
        <f>"史贤慧"</f>
        <v>史贤慧</v>
      </c>
      <c r="E4074" s="4" t="str">
        <f t="shared" si="157"/>
        <v>女</v>
      </c>
    </row>
    <row r="4075" spans="1:5" ht="30" customHeight="1">
      <c r="A4075" s="4">
        <v>4073</v>
      </c>
      <c r="B4075" s="4" t="str">
        <f>"397120220608095836111684"</f>
        <v>397120220608095836111684</v>
      </c>
      <c r="C4075" s="4" t="s">
        <v>28</v>
      </c>
      <c r="D4075" s="4" t="str">
        <f>"徐佳唯"</f>
        <v>徐佳唯</v>
      </c>
      <c r="E4075" s="4" t="str">
        <f t="shared" si="157"/>
        <v>女</v>
      </c>
    </row>
    <row r="4076" spans="1:5" ht="30" customHeight="1">
      <c r="A4076" s="4">
        <v>4074</v>
      </c>
      <c r="B4076" s="4" t="str">
        <f>"397120220608102020111856"</f>
        <v>397120220608102020111856</v>
      </c>
      <c r="C4076" s="4" t="s">
        <v>28</v>
      </c>
      <c r="D4076" s="4" t="str">
        <f>"王敏"</f>
        <v>王敏</v>
      </c>
      <c r="E4076" s="4" t="str">
        <f t="shared" si="157"/>
        <v>女</v>
      </c>
    </row>
    <row r="4077" spans="1:5" ht="30" customHeight="1">
      <c r="A4077" s="4">
        <v>4075</v>
      </c>
      <c r="B4077" s="4" t="str">
        <f>"397120220608102557111905"</f>
        <v>397120220608102557111905</v>
      </c>
      <c r="C4077" s="4" t="s">
        <v>28</v>
      </c>
      <c r="D4077" s="4" t="str">
        <f>"林造芳"</f>
        <v>林造芳</v>
      </c>
      <c r="E4077" s="4" t="str">
        <f t="shared" si="157"/>
        <v>女</v>
      </c>
    </row>
    <row r="4078" spans="1:5" ht="30" customHeight="1">
      <c r="A4078" s="4">
        <v>4076</v>
      </c>
      <c r="B4078" s="4" t="str">
        <f>"397120220608102938111946"</f>
        <v>397120220608102938111946</v>
      </c>
      <c r="C4078" s="4" t="s">
        <v>28</v>
      </c>
      <c r="D4078" s="4" t="str">
        <f>"王烁茜"</f>
        <v>王烁茜</v>
      </c>
      <c r="E4078" s="4" t="str">
        <f t="shared" si="157"/>
        <v>女</v>
      </c>
    </row>
    <row r="4079" spans="1:5" ht="30" customHeight="1">
      <c r="A4079" s="4">
        <v>4077</v>
      </c>
      <c r="B4079" s="4" t="str">
        <f>"397120220608103736112013"</f>
        <v>397120220608103736112013</v>
      </c>
      <c r="C4079" s="4" t="s">
        <v>28</v>
      </c>
      <c r="D4079" s="4" t="str">
        <f>"王子芊"</f>
        <v>王子芊</v>
      </c>
      <c r="E4079" s="4" t="str">
        <f t="shared" si="157"/>
        <v>女</v>
      </c>
    </row>
    <row r="4080" spans="1:5" ht="30" customHeight="1">
      <c r="A4080" s="4">
        <v>4078</v>
      </c>
      <c r="B4080" s="4" t="str">
        <f>"397120220608104248112062"</f>
        <v>397120220608104248112062</v>
      </c>
      <c r="C4080" s="4" t="s">
        <v>28</v>
      </c>
      <c r="D4080" s="4" t="str">
        <f>"董菲菲"</f>
        <v>董菲菲</v>
      </c>
      <c r="E4080" s="4" t="str">
        <f t="shared" si="157"/>
        <v>女</v>
      </c>
    </row>
    <row r="4081" spans="1:5" ht="30" customHeight="1">
      <c r="A4081" s="4">
        <v>4079</v>
      </c>
      <c r="B4081" s="4" t="str">
        <f>"397120220608104346112073"</f>
        <v>397120220608104346112073</v>
      </c>
      <c r="C4081" s="4" t="s">
        <v>28</v>
      </c>
      <c r="D4081" s="4" t="str">
        <f>"陈水云"</f>
        <v>陈水云</v>
      </c>
      <c r="E4081" s="4" t="str">
        <f t="shared" si="157"/>
        <v>女</v>
      </c>
    </row>
    <row r="4082" spans="1:5" ht="30" customHeight="1">
      <c r="A4082" s="4">
        <v>4080</v>
      </c>
      <c r="B4082" s="4" t="str">
        <f>"397120220608105404112173"</f>
        <v>397120220608105404112173</v>
      </c>
      <c r="C4082" s="4" t="s">
        <v>28</v>
      </c>
      <c r="D4082" s="4" t="str">
        <f>"符发琴"</f>
        <v>符发琴</v>
      </c>
      <c r="E4082" s="4" t="str">
        <f t="shared" si="157"/>
        <v>女</v>
      </c>
    </row>
    <row r="4083" spans="1:5" ht="30" customHeight="1">
      <c r="A4083" s="4">
        <v>4081</v>
      </c>
      <c r="B4083" s="4" t="str">
        <f>"397120220608105807112214"</f>
        <v>397120220608105807112214</v>
      </c>
      <c r="C4083" s="4" t="s">
        <v>28</v>
      </c>
      <c r="D4083" s="4" t="str">
        <f>"李振妃"</f>
        <v>李振妃</v>
      </c>
      <c r="E4083" s="4" t="str">
        <f t="shared" si="157"/>
        <v>女</v>
      </c>
    </row>
    <row r="4084" spans="1:5" ht="30" customHeight="1">
      <c r="A4084" s="4">
        <v>4082</v>
      </c>
      <c r="B4084" s="4" t="str">
        <f>"397120220608105819112215"</f>
        <v>397120220608105819112215</v>
      </c>
      <c r="C4084" s="4" t="s">
        <v>28</v>
      </c>
      <c r="D4084" s="4" t="str">
        <f>"兰曼"</f>
        <v>兰曼</v>
      </c>
      <c r="E4084" s="4" t="str">
        <f t="shared" si="157"/>
        <v>女</v>
      </c>
    </row>
    <row r="4085" spans="1:5" ht="30" customHeight="1">
      <c r="A4085" s="4">
        <v>4083</v>
      </c>
      <c r="B4085" s="4" t="str">
        <f>"397120220608111452112348"</f>
        <v>397120220608111452112348</v>
      </c>
      <c r="C4085" s="4" t="s">
        <v>28</v>
      </c>
      <c r="D4085" s="4" t="str">
        <f>"王艺杰"</f>
        <v>王艺杰</v>
      </c>
      <c r="E4085" s="4" t="str">
        <f t="shared" si="157"/>
        <v>女</v>
      </c>
    </row>
    <row r="4086" spans="1:5" ht="30" customHeight="1">
      <c r="A4086" s="4">
        <v>4084</v>
      </c>
      <c r="B4086" s="4" t="str">
        <f>"397120220608113013112461"</f>
        <v>397120220608113013112461</v>
      </c>
      <c r="C4086" s="4" t="s">
        <v>28</v>
      </c>
      <c r="D4086" s="4" t="str">
        <f>"梁海鹰"</f>
        <v>梁海鹰</v>
      </c>
      <c r="E4086" s="4" t="str">
        <f t="shared" si="157"/>
        <v>女</v>
      </c>
    </row>
    <row r="4087" spans="1:5" ht="30" customHeight="1">
      <c r="A4087" s="4">
        <v>4085</v>
      </c>
      <c r="B4087" s="4" t="str">
        <f>"397120220608113543112503"</f>
        <v>397120220608113543112503</v>
      </c>
      <c r="C4087" s="4" t="s">
        <v>28</v>
      </c>
      <c r="D4087" s="4" t="str">
        <f>"符煜晨"</f>
        <v>符煜晨</v>
      </c>
      <c r="E4087" s="4" t="str">
        <f>"男"</f>
        <v>男</v>
      </c>
    </row>
    <row r="4088" spans="1:5" ht="30" customHeight="1">
      <c r="A4088" s="4">
        <v>4086</v>
      </c>
      <c r="B4088" s="4" t="str">
        <f>"39712022060109003778180"</f>
        <v>39712022060109003778180</v>
      </c>
      <c r="C4088" s="4" t="s">
        <v>29</v>
      </c>
      <c r="D4088" s="4" t="str">
        <f>"万嘉乐"</f>
        <v>万嘉乐</v>
      </c>
      <c r="E4088" s="4" t="str">
        <f>"男"</f>
        <v>男</v>
      </c>
    </row>
    <row r="4089" spans="1:5" ht="30" customHeight="1">
      <c r="A4089" s="4">
        <v>4087</v>
      </c>
      <c r="B4089" s="4" t="str">
        <f>"39712022060109062478228"</f>
        <v>39712022060109062478228</v>
      </c>
      <c r="C4089" s="4" t="s">
        <v>29</v>
      </c>
      <c r="D4089" s="4" t="str">
        <f>"苏文珊"</f>
        <v>苏文珊</v>
      </c>
      <c r="E4089" s="4" t="str">
        <f aca="true" t="shared" si="158" ref="E4089:E4096">"女"</f>
        <v>女</v>
      </c>
    </row>
    <row r="4090" spans="1:5" ht="30" customHeight="1">
      <c r="A4090" s="4">
        <v>4088</v>
      </c>
      <c r="B4090" s="4" t="str">
        <f>"39712022060109062578229"</f>
        <v>39712022060109062578229</v>
      </c>
      <c r="C4090" s="4" t="s">
        <v>29</v>
      </c>
      <c r="D4090" s="4" t="str">
        <f>"黄术英"</f>
        <v>黄术英</v>
      </c>
      <c r="E4090" s="4" t="str">
        <f t="shared" si="158"/>
        <v>女</v>
      </c>
    </row>
    <row r="4091" spans="1:5" ht="30" customHeight="1">
      <c r="A4091" s="4">
        <v>4089</v>
      </c>
      <c r="B4091" s="4" t="str">
        <f>"39712022060109182678345"</f>
        <v>39712022060109182678345</v>
      </c>
      <c r="C4091" s="4" t="s">
        <v>29</v>
      </c>
      <c r="D4091" s="4" t="str">
        <f>"邢惠媚"</f>
        <v>邢惠媚</v>
      </c>
      <c r="E4091" s="4" t="str">
        <f t="shared" si="158"/>
        <v>女</v>
      </c>
    </row>
    <row r="4092" spans="1:5" ht="30" customHeight="1">
      <c r="A4092" s="4">
        <v>4090</v>
      </c>
      <c r="B4092" s="4" t="str">
        <f>"39712022060109273578432"</f>
        <v>39712022060109273578432</v>
      </c>
      <c r="C4092" s="4" t="s">
        <v>29</v>
      </c>
      <c r="D4092" s="4" t="str">
        <f>"陈代玉"</f>
        <v>陈代玉</v>
      </c>
      <c r="E4092" s="4" t="str">
        <f t="shared" si="158"/>
        <v>女</v>
      </c>
    </row>
    <row r="4093" spans="1:5" ht="30" customHeight="1">
      <c r="A4093" s="4">
        <v>4091</v>
      </c>
      <c r="B4093" s="4" t="str">
        <f>"39712022060109305578462"</f>
        <v>39712022060109305578462</v>
      </c>
      <c r="C4093" s="4" t="s">
        <v>29</v>
      </c>
      <c r="D4093" s="4" t="str">
        <f>"刘亚妹"</f>
        <v>刘亚妹</v>
      </c>
      <c r="E4093" s="4" t="str">
        <f t="shared" si="158"/>
        <v>女</v>
      </c>
    </row>
    <row r="4094" spans="1:5" ht="30" customHeight="1">
      <c r="A4094" s="4">
        <v>4092</v>
      </c>
      <c r="B4094" s="4" t="str">
        <f>"39712022060109402078537"</f>
        <v>39712022060109402078537</v>
      </c>
      <c r="C4094" s="4" t="s">
        <v>29</v>
      </c>
      <c r="D4094" s="4" t="str">
        <f>"黄和蕾"</f>
        <v>黄和蕾</v>
      </c>
      <c r="E4094" s="4" t="str">
        <f t="shared" si="158"/>
        <v>女</v>
      </c>
    </row>
    <row r="4095" spans="1:5" ht="30" customHeight="1">
      <c r="A4095" s="4">
        <v>4093</v>
      </c>
      <c r="B4095" s="4" t="str">
        <f>"39712022060109403678539"</f>
        <v>39712022060109403678539</v>
      </c>
      <c r="C4095" s="4" t="s">
        <v>29</v>
      </c>
      <c r="D4095" s="4" t="str">
        <f>"王茜"</f>
        <v>王茜</v>
      </c>
      <c r="E4095" s="4" t="str">
        <f t="shared" si="158"/>
        <v>女</v>
      </c>
    </row>
    <row r="4096" spans="1:5" ht="30" customHeight="1">
      <c r="A4096" s="4">
        <v>4094</v>
      </c>
      <c r="B4096" s="4" t="str">
        <f>"39712022060109573078688"</f>
        <v>39712022060109573078688</v>
      </c>
      <c r="C4096" s="4" t="s">
        <v>29</v>
      </c>
      <c r="D4096" s="4" t="str">
        <f>"叶映枚"</f>
        <v>叶映枚</v>
      </c>
      <c r="E4096" s="4" t="str">
        <f t="shared" si="158"/>
        <v>女</v>
      </c>
    </row>
    <row r="4097" spans="1:5" ht="30" customHeight="1">
      <c r="A4097" s="4">
        <v>4095</v>
      </c>
      <c r="B4097" s="4" t="str">
        <f>"39712022060109585978702"</f>
        <v>39712022060109585978702</v>
      </c>
      <c r="C4097" s="4" t="s">
        <v>29</v>
      </c>
      <c r="D4097" s="4" t="str">
        <f>"倪胜永"</f>
        <v>倪胜永</v>
      </c>
      <c r="E4097" s="4" t="str">
        <f>"男"</f>
        <v>男</v>
      </c>
    </row>
    <row r="4098" spans="1:5" ht="30" customHeight="1">
      <c r="A4098" s="4">
        <v>4096</v>
      </c>
      <c r="B4098" s="4" t="str">
        <f>"39712022060110111178805"</f>
        <v>39712022060110111178805</v>
      </c>
      <c r="C4098" s="4" t="s">
        <v>29</v>
      </c>
      <c r="D4098" s="4" t="str">
        <f>"刘少磊"</f>
        <v>刘少磊</v>
      </c>
      <c r="E4098" s="4" t="str">
        <f aca="true" t="shared" si="159" ref="E4098:E4105">"女"</f>
        <v>女</v>
      </c>
    </row>
    <row r="4099" spans="1:5" ht="30" customHeight="1">
      <c r="A4099" s="4">
        <v>4097</v>
      </c>
      <c r="B4099" s="4" t="str">
        <f>"39712022060110115478814"</f>
        <v>39712022060110115478814</v>
      </c>
      <c r="C4099" s="4" t="s">
        <v>29</v>
      </c>
      <c r="D4099" s="4" t="str">
        <f>"黄萍"</f>
        <v>黄萍</v>
      </c>
      <c r="E4099" s="4" t="str">
        <f t="shared" si="159"/>
        <v>女</v>
      </c>
    </row>
    <row r="4100" spans="1:5" ht="30" customHeight="1">
      <c r="A4100" s="4">
        <v>4098</v>
      </c>
      <c r="B4100" s="4" t="str">
        <f>"39712022060110151878831"</f>
        <v>39712022060110151878831</v>
      </c>
      <c r="C4100" s="4" t="s">
        <v>29</v>
      </c>
      <c r="D4100" s="4" t="str">
        <f>"吴琼"</f>
        <v>吴琼</v>
      </c>
      <c r="E4100" s="4" t="str">
        <f t="shared" si="159"/>
        <v>女</v>
      </c>
    </row>
    <row r="4101" spans="1:5" ht="30" customHeight="1">
      <c r="A4101" s="4">
        <v>4099</v>
      </c>
      <c r="B4101" s="4" t="str">
        <f>"39712022060110413879046"</f>
        <v>39712022060110413879046</v>
      </c>
      <c r="C4101" s="4" t="s">
        <v>29</v>
      </c>
      <c r="D4101" s="4" t="str">
        <f>"甘玟莎"</f>
        <v>甘玟莎</v>
      </c>
      <c r="E4101" s="4" t="str">
        <f t="shared" si="159"/>
        <v>女</v>
      </c>
    </row>
    <row r="4102" spans="1:5" ht="30" customHeight="1">
      <c r="A4102" s="4">
        <v>4100</v>
      </c>
      <c r="B4102" s="4" t="str">
        <f>"39712022060110425679055"</f>
        <v>39712022060110425679055</v>
      </c>
      <c r="C4102" s="4" t="s">
        <v>29</v>
      </c>
      <c r="D4102" s="4" t="str">
        <f>"陈玉曼"</f>
        <v>陈玉曼</v>
      </c>
      <c r="E4102" s="4" t="str">
        <f t="shared" si="159"/>
        <v>女</v>
      </c>
    </row>
    <row r="4103" spans="1:5" ht="30" customHeight="1">
      <c r="A4103" s="4">
        <v>4101</v>
      </c>
      <c r="B4103" s="4" t="str">
        <f>"39712022060110530279132"</f>
        <v>39712022060110530279132</v>
      </c>
      <c r="C4103" s="4" t="s">
        <v>29</v>
      </c>
      <c r="D4103" s="4" t="str">
        <f>"卢文丽"</f>
        <v>卢文丽</v>
      </c>
      <c r="E4103" s="4" t="str">
        <f t="shared" si="159"/>
        <v>女</v>
      </c>
    </row>
    <row r="4104" spans="1:5" ht="30" customHeight="1">
      <c r="A4104" s="4">
        <v>4102</v>
      </c>
      <c r="B4104" s="4" t="str">
        <f>"39712022060110550079145"</f>
        <v>39712022060110550079145</v>
      </c>
      <c r="C4104" s="4" t="s">
        <v>29</v>
      </c>
      <c r="D4104" s="4" t="str">
        <f>"陈丽君"</f>
        <v>陈丽君</v>
      </c>
      <c r="E4104" s="4" t="str">
        <f t="shared" si="159"/>
        <v>女</v>
      </c>
    </row>
    <row r="4105" spans="1:5" ht="30" customHeight="1">
      <c r="A4105" s="4">
        <v>4103</v>
      </c>
      <c r="B4105" s="4" t="str">
        <f>"39712022060110553579149"</f>
        <v>39712022060110553579149</v>
      </c>
      <c r="C4105" s="4" t="s">
        <v>29</v>
      </c>
      <c r="D4105" s="4" t="str">
        <f>"林朝怡"</f>
        <v>林朝怡</v>
      </c>
      <c r="E4105" s="4" t="str">
        <f t="shared" si="159"/>
        <v>女</v>
      </c>
    </row>
    <row r="4106" spans="1:5" ht="30" customHeight="1">
      <c r="A4106" s="4">
        <v>4104</v>
      </c>
      <c r="B4106" s="4" t="str">
        <f>"39712022060111085879272"</f>
        <v>39712022060111085879272</v>
      </c>
      <c r="C4106" s="4" t="s">
        <v>29</v>
      </c>
      <c r="D4106" s="4" t="str">
        <f>"陈首憎"</f>
        <v>陈首憎</v>
      </c>
      <c r="E4106" s="4" t="str">
        <f>"男"</f>
        <v>男</v>
      </c>
    </row>
    <row r="4107" spans="1:5" ht="30" customHeight="1">
      <c r="A4107" s="4">
        <v>4105</v>
      </c>
      <c r="B4107" s="4" t="str">
        <f>"39712022060111182579344"</f>
        <v>39712022060111182579344</v>
      </c>
      <c r="C4107" s="4" t="s">
        <v>29</v>
      </c>
      <c r="D4107" s="4" t="str">
        <f>"罗琬尹"</f>
        <v>罗琬尹</v>
      </c>
      <c r="E4107" s="4" t="str">
        <f>"女"</f>
        <v>女</v>
      </c>
    </row>
    <row r="4108" spans="1:5" ht="30" customHeight="1">
      <c r="A4108" s="4">
        <v>4106</v>
      </c>
      <c r="B4108" s="4" t="str">
        <f>"39712022060111505379549"</f>
        <v>39712022060111505379549</v>
      </c>
      <c r="C4108" s="4" t="s">
        <v>29</v>
      </c>
      <c r="D4108" s="4" t="str">
        <f>"江英英"</f>
        <v>江英英</v>
      </c>
      <c r="E4108" s="4" t="str">
        <f>"女"</f>
        <v>女</v>
      </c>
    </row>
    <row r="4109" spans="1:5" ht="30" customHeight="1">
      <c r="A4109" s="4">
        <v>4107</v>
      </c>
      <c r="B4109" s="4" t="str">
        <f>"39712022060112114579662"</f>
        <v>39712022060112114579662</v>
      </c>
      <c r="C4109" s="4" t="s">
        <v>29</v>
      </c>
      <c r="D4109" s="4" t="str">
        <f>"吴景章"</f>
        <v>吴景章</v>
      </c>
      <c r="E4109" s="4" t="str">
        <f>"男"</f>
        <v>男</v>
      </c>
    </row>
    <row r="4110" spans="1:5" ht="30" customHeight="1">
      <c r="A4110" s="4">
        <v>4108</v>
      </c>
      <c r="B4110" s="4" t="str">
        <f>"39712022060112243679728"</f>
        <v>39712022060112243679728</v>
      </c>
      <c r="C4110" s="4" t="s">
        <v>29</v>
      </c>
      <c r="D4110" s="4" t="str">
        <f>"符吉子"</f>
        <v>符吉子</v>
      </c>
      <c r="E4110" s="4" t="str">
        <f>"女"</f>
        <v>女</v>
      </c>
    </row>
    <row r="4111" spans="1:5" ht="30" customHeight="1">
      <c r="A4111" s="4">
        <v>4109</v>
      </c>
      <c r="B4111" s="4" t="str">
        <f>"39712022060113415280114"</f>
        <v>39712022060113415280114</v>
      </c>
      <c r="C4111" s="4" t="s">
        <v>29</v>
      </c>
      <c r="D4111" s="4" t="str">
        <f>"陈莹"</f>
        <v>陈莹</v>
      </c>
      <c r="E4111" s="4" t="str">
        <f>"女"</f>
        <v>女</v>
      </c>
    </row>
    <row r="4112" spans="1:5" ht="30" customHeight="1">
      <c r="A4112" s="4">
        <v>4110</v>
      </c>
      <c r="B4112" s="4" t="str">
        <f>"39712022060113504680145"</f>
        <v>39712022060113504680145</v>
      </c>
      <c r="C4112" s="4" t="s">
        <v>29</v>
      </c>
      <c r="D4112" s="4" t="str">
        <f>"蔡顺敏"</f>
        <v>蔡顺敏</v>
      </c>
      <c r="E4112" s="4" t="str">
        <f>"女"</f>
        <v>女</v>
      </c>
    </row>
    <row r="4113" spans="1:5" ht="30" customHeight="1">
      <c r="A4113" s="4">
        <v>4111</v>
      </c>
      <c r="B4113" s="4" t="str">
        <f>"39712022060114443680351"</f>
        <v>39712022060114443680351</v>
      </c>
      <c r="C4113" s="4" t="s">
        <v>29</v>
      </c>
      <c r="D4113" s="4" t="str">
        <f>"符传雄"</f>
        <v>符传雄</v>
      </c>
      <c r="E4113" s="4" t="str">
        <f>"男"</f>
        <v>男</v>
      </c>
    </row>
    <row r="4114" spans="1:5" ht="30" customHeight="1">
      <c r="A4114" s="4">
        <v>4112</v>
      </c>
      <c r="B4114" s="4" t="str">
        <f>"39712022060114514680386"</f>
        <v>39712022060114514680386</v>
      </c>
      <c r="C4114" s="4" t="s">
        <v>29</v>
      </c>
      <c r="D4114" s="4" t="str">
        <f>"陈宥霖"</f>
        <v>陈宥霖</v>
      </c>
      <c r="E4114" s="4" t="str">
        <f>"男"</f>
        <v>男</v>
      </c>
    </row>
    <row r="4115" spans="1:5" ht="30" customHeight="1">
      <c r="A4115" s="4">
        <v>4113</v>
      </c>
      <c r="B4115" s="4" t="str">
        <f>"39712022060115222480559"</f>
        <v>39712022060115222480559</v>
      </c>
      <c r="C4115" s="4" t="s">
        <v>29</v>
      </c>
      <c r="D4115" s="4" t="str">
        <f>"卓书泉"</f>
        <v>卓书泉</v>
      </c>
      <c r="E4115" s="4" t="str">
        <f>"男"</f>
        <v>男</v>
      </c>
    </row>
    <row r="4116" spans="1:5" ht="30" customHeight="1">
      <c r="A4116" s="4">
        <v>4114</v>
      </c>
      <c r="B4116" s="4" t="str">
        <f>"39712022060115254580577"</f>
        <v>39712022060115254580577</v>
      </c>
      <c r="C4116" s="4" t="s">
        <v>29</v>
      </c>
      <c r="D4116" s="4" t="str">
        <f>"丁怀莹"</f>
        <v>丁怀莹</v>
      </c>
      <c r="E4116" s="4" t="str">
        <f>"女"</f>
        <v>女</v>
      </c>
    </row>
    <row r="4117" spans="1:5" ht="30" customHeight="1">
      <c r="A4117" s="4">
        <v>4115</v>
      </c>
      <c r="B4117" s="4" t="str">
        <f>"39712022060115270380591"</f>
        <v>39712022060115270380591</v>
      </c>
      <c r="C4117" s="4" t="s">
        <v>29</v>
      </c>
      <c r="D4117" s="4" t="str">
        <f>"苏志媛"</f>
        <v>苏志媛</v>
      </c>
      <c r="E4117" s="4" t="str">
        <f>"女"</f>
        <v>女</v>
      </c>
    </row>
    <row r="4118" spans="1:5" ht="30" customHeight="1">
      <c r="A4118" s="4">
        <v>4116</v>
      </c>
      <c r="B4118" s="4" t="str">
        <f>"39712022060115283380608"</f>
        <v>39712022060115283380608</v>
      </c>
      <c r="C4118" s="4" t="s">
        <v>29</v>
      </c>
      <c r="D4118" s="4" t="str">
        <f>"陈良卓"</f>
        <v>陈良卓</v>
      </c>
      <c r="E4118" s="4" t="str">
        <f>"男"</f>
        <v>男</v>
      </c>
    </row>
    <row r="4119" spans="1:5" ht="30" customHeight="1">
      <c r="A4119" s="4">
        <v>4117</v>
      </c>
      <c r="B4119" s="4" t="str">
        <f>"39712022060116364781006"</f>
        <v>39712022060116364781006</v>
      </c>
      <c r="C4119" s="4" t="s">
        <v>29</v>
      </c>
      <c r="D4119" s="4" t="str">
        <f>"吴宏华"</f>
        <v>吴宏华</v>
      </c>
      <c r="E4119" s="4" t="str">
        <f aca="true" t="shared" si="160" ref="E4119:E4140">"女"</f>
        <v>女</v>
      </c>
    </row>
    <row r="4120" spans="1:5" ht="30" customHeight="1">
      <c r="A4120" s="4">
        <v>4118</v>
      </c>
      <c r="B4120" s="4" t="str">
        <f>"39712022060116412781038"</f>
        <v>39712022060116412781038</v>
      </c>
      <c r="C4120" s="4" t="s">
        <v>29</v>
      </c>
      <c r="D4120" s="4" t="str">
        <f>"麦惠乾"</f>
        <v>麦惠乾</v>
      </c>
      <c r="E4120" s="4" t="str">
        <f t="shared" si="160"/>
        <v>女</v>
      </c>
    </row>
    <row r="4121" spans="1:5" ht="30" customHeight="1">
      <c r="A4121" s="4">
        <v>4119</v>
      </c>
      <c r="B4121" s="4" t="str">
        <f>"39712022060116492481080"</f>
        <v>39712022060116492481080</v>
      </c>
      <c r="C4121" s="4" t="s">
        <v>29</v>
      </c>
      <c r="D4121" s="4" t="str">
        <f>"林怡"</f>
        <v>林怡</v>
      </c>
      <c r="E4121" s="4" t="str">
        <f t="shared" si="160"/>
        <v>女</v>
      </c>
    </row>
    <row r="4122" spans="1:5" ht="30" customHeight="1">
      <c r="A4122" s="4">
        <v>4120</v>
      </c>
      <c r="B4122" s="4" t="str">
        <f>"39712022060116525581101"</f>
        <v>39712022060116525581101</v>
      </c>
      <c r="C4122" s="4" t="s">
        <v>29</v>
      </c>
      <c r="D4122" s="4" t="str">
        <f>"王芳婉"</f>
        <v>王芳婉</v>
      </c>
      <c r="E4122" s="4" t="str">
        <f t="shared" si="160"/>
        <v>女</v>
      </c>
    </row>
    <row r="4123" spans="1:5" ht="30" customHeight="1">
      <c r="A4123" s="4">
        <v>4121</v>
      </c>
      <c r="B4123" s="4" t="str">
        <f>"39712022060117384681354"</f>
        <v>39712022060117384681354</v>
      </c>
      <c r="C4123" s="4" t="s">
        <v>29</v>
      </c>
      <c r="D4123" s="4" t="str">
        <f>"温金婷"</f>
        <v>温金婷</v>
      </c>
      <c r="E4123" s="4" t="str">
        <f t="shared" si="160"/>
        <v>女</v>
      </c>
    </row>
    <row r="4124" spans="1:5" ht="30" customHeight="1">
      <c r="A4124" s="4">
        <v>4122</v>
      </c>
      <c r="B4124" s="4" t="str">
        <f>"39712022060117455181384"</f>
        <v>39712022060117455181384</v>
      </c>
      <c r="C4124" s="4" t="s">
        <v>29</v>
      </c>
      <c r="D4124" s="4" t="str">
        <f>"卢银叶"</f>
        <v>卢银叶</v>
      </c>
      <c r="E4124" s="4" t="str">
        <f t="shared" si="160"/>
        <v>女</v>
      </c>
    </row>
    <row r="4125" spans="1:5" ht="30" customHeight="1">
      <c r="A4125" s="4">
        <v>4123</v>
      </c>
      <c r="B4125" s="4" t="str">
        <f>"39712022060117524981417"</f>
        <v>39712022060117524981417</v>
      </c>
      <c r="C4125" s="4" t="s">
        <v>29</v>
      </c>
      <c r="D4125" s="4" t="str">
        <f>"陈立淑"</f>
        <v>陈立淑</v>
      </c>
      <c r="E4125" s="4" t="str">
        <f t="shared" si="160"/>
        <v>女</v>
      </c>
    </row>
    <row r="4126" spans="1:5" ht="30" customHeight="1">
      <c r="A4126" s="4">
        <v>4124</v>
      </c>
      <c r="B4126" s="4" t="str">
        <f>"39712022060118050581473"</f>
        <v>39712022060118050581473</v>
      </c>
      <c r="C4126" s="4" t="s">
        <v>29</v>
      </c>
      <c r="D4126" s="4" t="str">
        <f>"黄秋婵"</f>
        <v>黄秋婵</v>
      </c>
      <c r="E4126" s="4" t="str">
        <f t="shared" si="160"/>
        <v>女</v>
      </c>
    </row>
    <row r="4127" spans="1:5" ht="30" customHeight="1">
      <c r="A4127" s="4">
        <v>4125</v>
      </c>
      <c r="B4127" s="4" t="str">
        <f>"39712022060118105081494"</f>
        <v>39712022060118105081494</v>
      </c>
      <c r="C4127" s="4" t="s">
        <v>29</v>
      </c>
      <c r="D4127" s="4" t="str">
        <f>"陈春江"</f>
        <v>陈春江</v>
      </c>
      <c r="E4127" s="4" t="str">
        <f t="shared" si="160"/>
        <v>女</v>
      </c>
    </row>
    <row r="4128" spans="1:5" ht="30" customHeight="1">
      <c r="A4128" s="4">
        <v>4126</v>
      </c>
      <c r="B4128" s="4" t="str">
        <f>"39712022060119480681897"</f>
        <v>39712022060119480681897</v>
      </c>
      <c r="C4128" s="4" t="s">
        <v>29</v>
      </c>
      <c r="D4128" s="4" t="str">
        <f>"林春金"</f>
        <v>林春金</v>
      </c>
      <c r="E4128" s="4" t="str">
        <f t="shared" si="160"/>
        <v>女</v>
      </c>
    </row>
    <row r="4129" spans="1:5" ht="30" customHeight="1">
      <c r="A4129" s="4">
        <v>4127</v>
      </c>
      <c r="B4129" s="4" t="str">
        <f>"39712022060120034181967"</f>
        <v>39712022060120034181967</v>
      </c>
      <c r="C4129" s="4" t="s">
        <v>29</v>
      </c>
      <c r="D4129" s="4" t="str">
        <f>" 邢丹云"</f>
        <v> 邢丹云</v>
      </c>
      <c r="E4129" s="4" t="str">
        <f t="shared" si="160"/>
        <v>女</v>
      </c>
    </row>
    <row r="4130" spans="1:5" ht="30" customHeight="1">
      <c r="A4130" s="4">
        <v>4128</v>
      </c>
      <c r="B4130" s="4" t="str">
        <f>"39712022060120291882078"</f>
        <v>39712022060120291882078</v>
      </c>
      <c r="C4130" s="4" t="s">
        <v>29</v>
      </c>
      <c r="D4130" s="4" t="str">
        <f>"邱雪"</f>
        <v>邱雪</v>
      </c>
      <c r="E4130" s="4" t="str">
        <f t="shared" si="160"/>
        <v>女</v>
      </c>
    </row>
    <row r="4131" spans="1:5" ht="30" customHeight="1">
      <c r="A4131" s="4">
        <v>4129</v>
      </c>
      <c r="B4131" s="4" t="str">
        <f>"39712022060121124782291"</f>
        <v>39712022060121124782291</v>
      </c>
      <c r="C4131" s="4" t="s">
        <v>29</v>
      </c>
      <c r="D4131" s="4" t="str">
        <f>"吴桐"</f>
        <v>吴桐</v>
      </c>
      <c r="E4131" s="4" t="str">
        <f t="shared" si="160"/>
        <v>女</v>
      </c>
    </row>
    <row r="4132" spans="1:5" ht="30" customHeight="1">
      <c r="A4132" s="4">
        <v>4130</v>
      </c>
      <c r="B4132" s="4" t="str">
        <f>"39712022060121320782395"</f>
        <v>39712022060121320782395</v>
      </c>
      <c r="C4132" s="4" t="s">
        <v>29</v>
      </c>
      <c r="D4132" s="4" t="str">
        <f>"孙学佳"</f>
        <v>孙学佳</v>
      </c>
      <c r="E4132" s="4" t="str">
        <f t="shared" si="160"/>
        <v>女</v>
      </c>
    </row>
    <row r="4133" spans="1:5" ht="30" customHeight="1">
      <c r="A4133" s="4">
        <v>4131</v>
      </c>
      <c r="B4133" s="4" t="str">
        <f>"39712022060121320982396"</f>
        <v>39712022060121320982396</v>
      </c>
      <c r="C4133" s="4" t="s">
        <v>29</v>
      </c>
      <c r="D4133" s="4" t="str">
        <f>"陈萍"</f>
        <v>陈萍</v>
      </c>
      <c r="E4133" s="4" t="str">
        <f t="shared" si="160"/>
        <v>女</v>
      </c>
    </row>
    <row r="4134" spans="1:5" ht="30" customHeight="1">
      <c r="A4134" s="4">
        <v>4132</v>
      </c>
      <c r="B4134" s="4" t="str">
        <f>"39712022060121335482407"</f>
        <v>39712022060121335482407</v>
      </c>
      <c r="C4134" s="4" t="s">
        <v>29</v>
      </c>
      <c r="D4134" s="4" t="str">
        <f>"麦琪琪"</f>
        <v>麦琪琪</v>
      </c>
      <c r="E4134" s="4" t="str">
        <f t="shared" si="160"/>
        <v>女</v>
      </c>
    </row>
    <row r="4135" spans="1:5" ht="30" customHeight="1">
      <c r="A4135" s="4">
        <v>4133</v>
      </c>
      <c r="B4135" s="4" t="str">
        <f>"39712022060122002582556"</f>
        <v>39712022060122002582556</v>
      </c>
      <c r="C4135" s="4" t="s">
        <v>29</v>
      </c>
      <c r="D4135" s="4" t="str">
        <f>"符丽菲"</f>
        <v>符丽菲</v>
      </c>
      <c r="E4135" s="4" t="str">
        <f t="shared" si="160"/>
        <v>女</v>
      </c>
    </row>
    <row r="4136" spans="1:5" ht="30" customHeight="1">
      <c r="A4136" s="4">
        <v>4134</v>
      </c>
      <c r="B4136" s="4" t="str">
        <f>"39712022060122170082653"</f>
        <v>39712022060122170082653</v>
      </c>
      <c r="C4136" s="4" t="s">
        <v>29</v>
      </c>
      <c r="D4136" s="4" t="str">
        <f>"何銮"</f>
        <v>何銮</v>
      </c>
      <c r="E4136" s="4" t="str">
        <f t="shared" si="160"/>
        <v>女</v>
      </c>
    </row>
    <row r="4137" spans="1:5" ht="30" customHeight="1">
      <c r="A4137" s="4">
        <v>4135</v>
      </c>
      <c r="B4137" s="4" t="str">
        <f>"39712022060122444882790"</f>
        <v>39712022060122444882790</v>
      </c>
      <c r="C4137" s="4" t="s">
        <v>29</v>
      </c>
      <c r="D4137" s="4" t="str">
        <f>"陈莹"</f>
        <v>陈莹</v>
      </c>
      <c r="E4137" s="4" t="str">
        <f t="shared" si="160"/>
        <v>女</v>
      </c>
    </row>
    <row r="4138" spans="1:5" ht="30" customHeight="1">
      <c r="A4138" s="4">
        <v>4136</v>
      </c>
      <c r="B4138" s="4" t="str">
        <f>"39712022060123084082896"</f>
        <v>39712022060123084082896</v>
      </c>
      <c r="C4138" s="4" t="s">
        <v>29</v>
      </c>
      <c r="D4138" s="4" t="str">
        <f>"李珊"</f>
        <v>李珊</v>
      </c>
      <c r="E4138" s="4" t="str">
        <f t="shared" si="160"/>
        <v>女</v>
      </c>
    </row>
    <row r="4139" spans="1:5" ht="30" customHeight="1">
      <c r="A4139" s="4">
        <v>4137</v>
      </c>
      <c r="B4139" s="4" t="str">
        <f>"39712022060123201982944"</f>
        <v>39712022060123201982944</v>
      </c>
      <c r="C4139" s="4" t="s">
        <v>29</v>
      </c>
      <c r="D4139" s="4" t="str">
        <f>"周潮敏"</f>
        <v>周潮敏</v>
      </c>
      <c r="E4139" s="4" t="str">
        <f t="shared" si="160"/>
        <v>女</v>
      </c>
    </row>
    <row r="4140" spans="1:5" ht="30" customHeight="1">
      <c r="A4140" s="4">
        <v>4138</v>
      </c>
      <c r="B4140" s="4" t="str">
        <f>"39712022060207533883211"</f>
        <v>39712022060207533883211</v>
      </c>
      <c r="C4140" s="4" t="s">
        <v>29</v>
      </c>
      <c r="D4140" s="4" t="str">
        <f>"王婷"</f>
        <v>王婷</v>
      </c>
      <c r="E4140" s="4" t="str">
        <f t="shared" si="160"/>
        <v>女</v>
      </c>
    </row>
    <row r="4141" spans="1:5" ht="30" customHeight="1">
      <c r="A4141" s="4">
        <v>4139</v>
      </c>
      <c r="B4141" s="4" t="str">
        <f>"39712022060208063483239"</f>
        <v>39712022060208063483239</v>
      </c>
      <c r="C4141" s="4" t="s">
        <v>29</v>
      </c>
      <c r="D4141" s="4" t="str">
        <f>"裴威侃"</f>
        <v>裴威侃</v>
      </c>
      <c r="E4141" s="4" t="str">
        <f>"男"</f>
        <v>男</v>
      </c>
    </row>
    <row r="4142" spans="1:5" ht="30" customHeight="1">
      <c r="A4142" s="4">
        <v>4140</v>
      </c>
      <c r="B4142" s="4" t="str">
        <f>"39712022060208381183379"</f>
        <v>39712022060208381183379</v>
      </c>
      <c r="C4142" s="4" t="s">
        <v>29</v>
      </c>
      <c r="D4142" s="4" t="str">
        <f>"李欣欣"</f>
        <v>李欣欣</v>
      </c>
      <c r="E4142" s="4" t="str">
        <f>"女"</f>
        <v>女</v>
      </c>
    </row>
    <row r="4143" spans="1:5" ht="30" customHeight="1">
      <c r="A4143" s="4">
        <v>4141</v>
      </c>
      <c r="B4143" s="4" t="str">
        <f>"39712022060209320083735"</f>
        <v>39712022060209320083735</v>
      </c>
      <c r="C4143" s="4" t="s">
        <v>29</v>
      </c>
      <c r="D4143" s="4" t="str">
        <f>"许妃"</f>
        <v>许妃</v>
      </c>
      <c r="E4143" s="4" t="str">
        <f>"女"</f>
        <v>女</v>
      </c>
    </row>
    <row r="4144" spans="1:5" ht="30" customHeight="1">
      <c r="A4144" s="4">
        <v>4142</v>
      </c>
      <c r="B4144" s="4" t="str">
        <f>"39712022060209504983881"</f>
        <v>39712022060209504983881</v>
      </c>
      <c r="C4144" s="4" t="s">
        <v>29</v>
      </c>
      <c r="D4144" s="4" t="str">
        <f>"李敏"</f>
        <v>李敏</v>
      </c>
      <c r="E4144" s="4" t="str">
        <f>"男"</f>
        <v>男</v>
      </c>
    </row>
    <row r="4145" spans="1:5" ht="30" customHeight="1">
      <c r="A4145" s="4">
        <v>4143</v>
      </c>
      <c r="B4145" s="4" t="str">
        <f>"39712022060209542683915"</f>
        <v>39712022060209542683915</v>
      </c>
      <c r="C4145" s="4" t="s">
        <v>29</v>
      </c>
      <c r="D4145" s="4" t="str">
        <f>"张燕芳"</f>
        <v>张燕芳</v>
      </c>
      <c r="E4145" s="4" t="str">
        <f>"女"</f>
        <v>女</v>
      </c>
    </row>
    <row r="4146" spans="1:5" ht="30" customHeight="1">
      <c r="A4146" s="4">
        <v>4144</v>
      </c>
      <c r="B4146" s="4" t="str">
        <f>"39712022060210472084303"</f>
        <v>39712022060210472084303</v>
      </c>
      <c r="C4146" s="4" t="s">
        <v>29</v>
      </c>
      <c r="D4146" s="4" t="str">
        <f>"薛梅娟"</f>
        <v>薛梅娟</v>
      </c>
      <c r="E4146" s="4" t="str">
        <f>"女"</f>
        <v>女</v>
      </c>
    </row>
    <row r="4147" spans="1:5" ht="30" customHeight="1">
      <c r="A4147" s="4">
        <v>4145</v>
      </c>
      <c r="B4147" s="4" t="str">
        <f>"39712022060210482384310"</f>
        <v>39712022060210482384310</v>
      </c>
      <c r="C4147" s="4" t="s">
        <v>29</v>
      </c>
      <c r="D4147" s="4" t="str">
        <f>"陈艳婷"</f>
        <v>陈艳婷</v>
      </c>
      <c r="E4147" s="4" t="str">
        <f>"女"</f>
        <v>女</v>
      </c>
    </row>
    <row r="4148" spans="1:5" ht="30" customHeight="1">
      <c r="A4148" s="4">
        <v>4146</v>
      </c>
      <c r="B4148" s="4" t="str">
        <f>"39712022060211045984439"</f>
        <v>39712022060211045984439</v>
      </c>
      <c r="C4148" s="4" t="s">
        <v>29</v>
      </c>
      <c r="D4148" s="4" t="str">
        <f>"秦风娟"</f>
        <v>秦风娟</v>
      </c>
      <c r="E4148" s="4" t="str">
        <f>"女"</f>
        <v>女</v>
      </c>
    </row>
    <row r="4149" spans="1:5" ht="30" customHeight="1">
      <c r="A4149" s="4">
        <v>4147</v>
      </c>
      <c r="B4149" s="4" t="str">
        <f>"39712022060211531384734"</f>
        <v>39712022060211531384734</v>
      </c>
      <c r="C4149" s="4" t="s">
        <v>29</v>
      </c>
      <c r="D4149" s="4" t="str">
        <f>"石丽雪"</f>
        <v>石丽雪</v>
      </c>
      <c r="E4149" s="4" t="str">
        <f>"女"</f>
        <v>女</v>
      </c>
    </row>
    <row r="4150" spans="1:5" ht="30" customHeight="1">
      <c r="A4150" s="4">
        <v>4148</v>
      </c>
      <c r="B4150" s="4" t="str">
        <f>"39712022060212000784763"</f>
        <v>39712022060212000784763</v>
      </c>
      <c r="C4150" s="4" t="s">
        <v>29</v>
      </c>
      <c r="D4150" s="4" t="str">
        <f>"李明祜"</f>
        <v>李明祜</v>
      </c>
      <c r="E4150" s="4" t="str">
        <f>"男"</f>
        <v>男</v>
      </c>
    </row>
    <row r="4151" spans="1:5" ht="30" customHeight="1">
      <c r="A4151" s="4">
        <v>4149</v>
      </c>
      <c r="B4151" s="4" t="str">
        <f>"39712022060212065584800"</f>
        <v>39712022060212065584800</v>
      </c>
      <c r="C4151" s="4" t="s">
        <v>29</v>
      </c>
      <c r="D4151" s="4" t="str">
        <f>"陈春平"</f>
        <v>陈春平</v>
      </c>
      <c r="E4151" s="4" t="str">
        <f>"女"</f>
        <v>女</v>
      </c>
    </row>
    <row r="4152" spans="1:5" ht="30" customHeight="1">
      <c r="A4152" s="4">
        <v>4150</v>
      </c>
      <c r="B4152" s="4" t="str">
        <f>"39712022060212595785114"</f>
        <v>39712022060212595785114</v>
      </c>
      <c r="C4152" s="4" t="s">
        <v>29</v>
      </c>
      <c r="D4152" s="4" t="str">
        <f>"吴宏亮"</f>
        <v>吴宏亮</v>
      </c>
      <c r="E4152" s="4" t="str">
        <f>"男"</f>
        <v>男</v>
      </c>
    </row>
    <row r="4153" spans="1:5" ht="30" customHeight="1">
      <c r="A4153" s="4">
        <v>4151</v>
      </c>
      <c r="B4153" s="4" t="str">
        <f>"39712022060213280985250"</f>
        <v>39712022060213280985250</v>
      </c>
      <c r="C4153" s="4" t="s">
        <v>29</v>
      </c>
      <c r="D4153" s="4" t="str">
        <f>"陈昕颖"</f>
        <v>陈昕颖</v>
      </c>
      <c r="E4153" s="4" t="str">
        <f>"女"</f>
        <v>女</v>
      </c>
    </row>
    <row r="4154" spans="1:5" ht="30" customHeight="1">
      <c r="A4154" s="4">
        <v>4152</v>
      </c>
      <c r="B4154" s="4" t="str">
        <f>"39712022060214095385419"</f>
        <v>39712022060214095385419</v>
      </c>
      <c r="C4154" s="4" t="s">
        <v>29</v>
      </c>
      <c r="D4154" s="4" t="str">
        <f>"符颖"</f>
        <v>符颖</v>
      </c>
      <c r="E4154" s="4" t="str">
        <f>"女"</f>
        <v>女</v>
      </c>
    </row>
    <row r="4155" spans="1:5" ht="30" customHeight="1">
      <c r="A4155" s="4">
        <v>4153</v>
      </c>
      <c r="B4155" s="4" t="str">
        <f>"39712022060214445685559"</f>
        <v>39712022060214445685559</v>
      </c>
      <c r="C4155" s="4" t="s">
        <v>29</v>
      </c>
      <c r="D4155" s="4" t="str">
        <f>"林秋凤"</f>
        <v>林秋凤</v>
      </c>
      <c r="E4155" s="4" t="str">
        <f>"女"</f>
        <v>女</v>
      </c>
    </row>
    <row r="4156" spans="1:5" ht="30" customHeight="1">
      <c r="A4156" s="4">
        <v>4154</v>
      </c>
      <c r="B4156" s="4" t="str">
        <f>"39712022060214475885577"</f>
        <v>39712022060214475885577</v>
      </c>
      <c r="C4156" s="4" t="s">
        <v>29</v>
      </c>
      <c r="D4156" s="4" t="str">
        <f>"庄海良"</f>
        <v>庄海良</v>
      </c>
      <c r="E4156" s="4" t="str">
        <f>"女"</f>
        <v>女</v>
      </c>
    </row>
    <row r="4157" spans="1:5" ht="30" customHeight="1">
      <c r="A4157" s="4">
        <v>4155</v>
      </c>
      <c r="B4157" s="4" t="str">
        <f>"39712022060215545685972"</f>
        <v>39712022060215545685972</v>
      </c>
      <c r="C4157" s="4" t="s">
        <v>29</v>
      </c>
      <c r="D4157" s="4" t="str">
        <f>"黄有莲"</f>
        <v>黄有莲</v>
      </c>
      <c r="E4157" s="4" t="str">
        <f>"女"</f>
        <v>女</v>
      </c>
    </row>
    <row r="4158" spans="1:5" ht="30" customHeight="1">
      <c r="A4158" s="4">
        <v>4156</v>
      </c>
      <c r="B4158" s="4" t="str">
        <f>"39712022060216050486028"</f>
        <v>39712022060216050486028</v>
      </c>
      <c r="C4158" s="4" t="s">
        <v>29</v>
      </c>
      <c r="D4158" s="4" t="str">
        <f>"王卫豪"</f>
        <v>王卫豪</v>
      </c>
      <c r="E4158" s="4" t="str">
        <f>"男"</f>
        <v>男</v>
      </c>
    </row>
    <row r="4159" spans="1:5" ht="30" customHeight="1">
      <c r="A4159" s="4">
        <v>4157</v>
      </c>
      <c r="B4159" s="4" t="str">
        <f>"39712022060216145886093"</f>
        <v>39712022060216145886093</v>
      </c>
      <c r="C4159" s="4" t="s">
        <v>29</v>
      </c>
      <c r="D4159" s="4" t="str">
        <f>"李小雪"</f>
        <v>李小雪</v>
      </c>
      <c r="E4159" s="4" t="str">
        <f>"女"</f>
        <v>女</v>
      </c>
    </row>
    <row r="4160" spans="1:5" ht="30" customHeight="1">
      <c r="A4160" s="4">
        <v>4158</v>
      </c>
      <c r="B4160" s="4" t="str">
        <f>"39712022060216464386243"</f>
        <v>39712022060216464386243</v>
      </c>
      <c r="C4160" s="4" t="s">
        <v>29</v>
      </c>
      <c r="D4160" s="4" t="str">
        <f>"谢丽许"</f>
        <v>谢丽许</v>
      </c>
      <c r="E4160" s="4" t="str">
        <f>"女"</f>
        <v>女</v>
      </c>
    </row>
    <row r="4161" spans="1:5" ht="30" customHeight="1">
      <c r="A4161" s="4">
        <v>4159</v>
      </c>
      <c r="B4161" s="4" t="str">
        <f>"39712022060217162386387"</f>
        <v>39712022060217162386387</v>
      </c>
      <c r="C4161" s="4" t="s">
        <v>29</v>
      </c>
      <c r="D4161" s="4" t="str">
        <f>"王海珠"</f>
        <v>王海珠</v>
      </c>
      <c r="E4161" s="4" t="str">
        <f>"女"</f>
        <v>女</v>
      </c>
    </row>
    <row r="4162" spans="1:5" ht="30" customHeight="1">
      <c r="A4162" s="4">
        <v>4160</v>
      </c>
      <c r="B4162" s="4" t="str">
        <f>"39712022060217205086411"</f>
        <v>39712022060217205086411</v>
      </c>
      <c r="C4162" s="4" t="s">
        <v>29</v>
      </c>
      <c r="D4162" s="4" t="str">
        <f>"符章辉"</f>
        <v>符章辉</v>
      </c>
      <c r="E4162" s="4" t="str">
        <f>"男"</f>
        <v>男</v>
      </c>
    </row>
    <row r="4163" spans="1:5" ht="30" customHeight="1">
      <c r="A4163" s="4">
        <v>4161</v>
      </c>
      <c r="B4163" s="4" t="str">
        <f>"39712022060217382686487"</f>
        <v>39712022060217382686487</v>
      </c>
      <c r="C4163" s="4" t="s">
        <v>29</v>
      </c>
      <c r="D4163" s="4" t="str">
        <f>"詹翠玉"</f>
        <v>詹翠玉</v>
      </c>
      <c r="E4163" s="4" t="str">
        <f>"女"</f>
        <v>女</v>
      </c>
    </row>
    <row r="4164" spans="1:5" ht="30" customHeight="1">
      <c r="A4164" s="4">
        <v>4162</v>
      </c>
      <c r="B4164" s="4" t="str">
        <f>"39712022060218080886612"</f>
        <v>39712022060218080886612</v>
      </c>
      <c r="C4164" s="4" t="s">
        <v>29</v>
      </c>
      <c r="D4164" s="4" t="str">
        <f>"陈昕"</f>
        <v>陈昕</v>
      </c>
      <c r="E4164" s="4" t="str">
        <f>"女"</f>
        <v>女</v>
      </c>
    </row>
    <row r="4165" spans="1:5" ht="30" customHeight="1">
      <c r="A4165" s="4">
        <v>4163</v>
      </c>
      <c r="B4165" s="4" t="str">
        <f>"39712022060218371086693"</f>
        <v>39712022060218371086693</v>
      </c>
      <c r="C4165" s="4" t="s">
        <v>29</v>
      </c>
      <c r="D4165" s="4" t="str">
        <f>"余顺子"</f>
        <v>余顺子</v>
      </c>
      <c r="E4165" s="4" t="str">
        <f>"男"</f>
        <v>男</v>
      </c>
    </row>
    <row r="4166" spans="1:5" ht="30" customHeight="1">
      <c r="A4166" s="4">
        <v>4164</v>
      </c>
      <c r="B4166" s="4" t="str">
        <f>"39712022060220331287009"</f>
        <v>39712022060220331287009</v>
      </c>
      <c r="C4166" s="4" t="s">
        <v>29</v>
      </c>
      <c r="D4166" s="4" t="str">
        <f>"赵仁健"</f>
        <v>赵仁健</v>
      </c>
      <c r="E4166" s="4" t="str">
        <f>"男"</f>
        <v>男</v>
      </c>
    </row>
    <row r="4167" spans="1:5" ht="30" customHeight="1">
      <c r="A4167" s="4">
        <v>4165</v>
      </c>
      <c r="B4167" s="4" t="str">
        <f>"39712022060220351687015"</f>
        <v>39712022060220351687015</v>
      </c>
      <c r="C4167" s="4" t="s">
        <v>29</v>
      </c>
      <c r="D4167" s="4" t="str">
        <f>"陈绵丹"</f>
        <v>陈绵丹</v>
      </c>
      <c r="E4167" s="4" t="str">
        <f aca="true" t="shared" si="161" ref="E4167:E4173">"女"</f>
        <v>女</v>
      </c>
    </row>
    <row r="4168" spans="1:5" ht="30" customHeight="1">
      <c r="A4168" s="4">
        <v>4166</v>
      </c>
      <c r="B4168" s="4" t="str">
        <f>"39712022060221012387106"</f>
        <v>39712022060221012387106</v>
      </c>
      <c r="C4168" s="4" t="s">
        <v>29</v>
      </c>
      <c r="D4168" s="4" t="str">
        <f>"张婷"</f>
        <v>张婷</v>
      </c>
      <c r="E4168" s="4" t="str">
        <f t="shared" si="161"/>
        <v>女</v>
      </c>
    </row>
    <row r="4169" spans="1:5" ht="30" customHeight="1">
      <c r="A4169" s="4">
        <v>4167</v>
      </c>
      <c r="B4169" s="4" t="str">
        <f>"39712022060222034087308"</f>
        <v>39712022060222034087308</v>
      </c>
      <c r="C4169" s="4" t="s">
        <v>29</v>
      </c>
      <c r="D4169" s="4" t="str">
        <f>"何爱敏"</f>
        <v>何爱敏</v>
      </c>
      <c r="E4169" s="4" t="str">
        <f t="shared" si="161"/>
        <v>女</v>
      </c>
    </row>
    <row r="4170" spans="1:5" ht="30" customHeight="1">
      <c r="A4170" s="4">
        <v>4168</v>
      </c>
      <c r="B4170" s="4" t="str">
        <f>"39712022060223041687511"</f>
        <v>39712022060223041687511</v>
      </c>
      <c r="C4170" s="4" t="s">
        <v>29</v>
      </c>
      <c r="D4170" s="4" t="str">
        <f>"冯倩"</f>
        <v>冯倩</v>
      </c>
      <c r="E4170" s="4" t="str">
        <f t="shared" si="161"/>
        <v>女</v>
      </c>
    </row>
    <row r="4171" spans="1:5" ht="30" customHeight="1">
      <c r="A4171" s="4">
        <v>4169</v>
      </c>
      <c r="B4171" s="4" t="str">
        <f>"39712022060307420787621"</f>
        <v>39712022060307420787621</v>
      </c>
      <c r="C4171" s="4" t="s">
        <v>29</v>
      </c>
      <c r="D4171" s="4" t="str">
        <f>"王春萍"</f>
        <v>王春萍</v>
      </c>
      <c r="E4171" s="4" t="str">
        <f t="shared" si="161"/>
        <v>女</v>
      </c>
    </row>
    <row r="4172" spans="1:5" ht="30" customHeight="1">
      <c r="A4172" s="4">
        <v>4170</v>
      </c>
      <c r="B4172" s="4" t="str">
        <f>"39712022060308375187651"</f>
        <v>39712022060308375187651</v>
      </c>
      <c r="C4172" s="4" t="s">
        <v>29</v>
      </c>
      <c r="D4172" s="4" t="str">
        <f>"施玲"</f>
        <v>施玲</v>
      </c>
      <c r="E4172" s="4" t="str">
        <f t="shared" si="161"/>
        <v>女</v>
      </c>
    </row>
    <row r="4173" spans="1:5" ht="30" customHeight="1">
      <c r="A4173" s="4">
        <v>4171</v>
      </c>
      <c r="B4173" s="4" t="str">
        <f>"39712022060314300588014"</f>
        <v>39712022060314300588014</v>
      </c>
      <c r="C4173" s="4" t="s">
        <v>29</v>
      </c>
      <c r="D4173" s="4" t="str">
        <f>"陈婷婷"</f>
        <v>陈婷婷</v>
      </c>
      <c r="E4173" s="4" t="str">
        <f t="shared" si="161"/>
        <v>女</v>
      </c>
    </row>
    <row r="4174" spans="1:5" ht="30" customHeight="1">
      <c r="A4174" s="4">
        <v>4172</v>
      </c>
      <c r="B4174" s="4" t="str">
        <f>"39712022060316012588102"</f>
        <v>39712022060316012588102</v>
      </c>
      <c r="C4174" s="4" t="s">
        <v>29</v>
      </c>
      <c r="D4174" s="4" t="str">
        <f>"唐彪"</f>
        <v>唐彪</v>
      </c>
      <c r="E4174" s="4" t="str">
        <f>"男"</f>
        <v>男</v>
      </c>
    </row>
    <row r="4175" spans="1:5" ht="30" customHeight="1">
      <c r="A4175" s="4">
        <v>4173</v>
      </c>
      <c r="B4175" s="4" t="str">
        <f>"39712022060316125988116"</f>
        <v>39712022060316125988116</v>
      </c>
      <c r="C4175" s="4" t="s">
        <v>29</v>
      </c>
      <c r="D4175" s="4" t="str">
        <f>"王馨苡"</f>
        <v>王馨苡</v>
      </c>
      <c r="E4175" s="4" t="str">
        <f aca="true" t="shared" si="162" ref="E4175:E4198">"女"</f>
        <v>女</v>
      </c>
    </row>
    <row r="4176" spans="1:5" ht="30" customHeight="1">
      <c r="A4176" s="4">
        <v>4174</v>
      </c>
      <c r="B4176" s="4" t="str">
        <f>"39712022060316483788143"</f>
        <v>39712022060316483788143</v>
      </c>
      <c r="C4176" s="4" t="s">
        <v>29</v>
      </c>
      <c r="D4176" s="4" t="str">
        <f>"吴淑萍"</f>
        <v>吴淑萍</v>
      </c>
      <c r="E4176" s="4" t="str">
        <f t="shared" si="162"/>
        <v>女</v>
      </c>
    </row>
    <row r="4177" spans="1:5" ht="30" customHeight="1">
      <c r="A4177" s="4">
        <v>4175</v>
      </c>
      <c r="B4177" s="4" t="str">
        <f>"39712022060317405788194"</f>
        <v>39712022060317405788194</v>
      </c>
      <c r="C4177" s="4" t="s">
        <v>29</v>
      </c>
      <c r="D4177" s="4" t="str">
        <f>"吴洁明"</f>
        <v>吴洁明</v>
      </c>
      <c r="E4177" s="4" t="str">
        <f t="shared" si="162"/>
        <v>女</v>
      </c>
    </row>
    <row r="4178" spans="1:5" ht="30" customHeight="1">
      <c r="A4178" s="4">
        <v>4176</v>
      </c>
      <c r="B4178" s="4" t="str">
        <f>"39712022060319203188281"</f>
        <v>39712022060319203188281</v>
      </c>
      <c r="C4178" s="4" t="s">
        <v>29</v>
      </c>
      <c r="D4178" s="4" t="str">
        <f>"陈嘉琳"</f>
        <v>陈嘉琳</v>
      </c>
      <c r="E4178" s="4" t="str">
        <f t="shared" si="162"/>
        <v>女</v>
      </c>
    </row>
    <row r="4179" spans="1:5" ht="30" customHeight="1">
      <c r="A4179" s="4">
        <v>4177</v>
      </c>
      <c r="B4179" s="4" t="str">
        <f>"39712022060321095888386"</f>
        <v>39712022060321095888386</v>
      </c>
      <c r="C4179" s="4" t="s">
        <v>29</v>
      </c>
      <c r="D4179" s="4" t="str">
        <f>"黄彩荧"</f>
        <v>黄彩荧</v>
      </c>
      <c r="E4179" s="4" t="str">
        <f t="shared" si="162"/>
        <v>女</v>
      </c>
    </row>
    <row r="4180" spans="1:5" ht="30" customHeight="1">
      <c r="A4180" s="4">
        <v>4178</v>
      </c>
      <c r="B4180" s="4" t="str">
        <f>"39712022060322042588450"</f>
        <v>39712022060322042588450</v>
      </c>
      <c r="C4180" s="4" t="s">
        <v>29</v>
      </c>
      <c r="D4180" s="4" t="str">
        <f>"梁曦予"</f>
        <v>梁曦予</v>
      </c>
      <c r="E4180" s="4" t="str">
        <f t="shared" si="162"/>
        <v>女</v>
      </c>
    </row>
    <row r="4181" spans="1:5" ht="30" customHeight="1">
      <c r="A4181" s="4">
        <v>4179</v>
      </c>
      <c r="B4181" s="4" t="str">
        <f>"39712022060322115188455"</f>
        <v>39712022060322115188455</v>
      </c>
      <c r="C4181" s="4" t="s">
        <v>29</v>
      </c>
      <c r="D4181" s="4" t="str">
        <f>"樊晓蕊"</f>
        <v>樊晓蕊</v>
      </c>
      <c r="E4181" s="4" t="str">
        <f t="shared" si="162"/>
        <v>女</v>
      </c>
    </row>
    <row r="4182" spans="1:5" ht="30" customHeight="1">
      <c r="A4182" s="4">
        <v>4180</v>
      </c>
      <c r="B4182" s="4" t="str">
        <f>"39712022060323012688510"</f>
        <v>39712022060323012688510</v>
      </c>
      <c r="C4182" s="4" t="s">
        <v>29</v>
      </c>
      <c r="D4182" s="4" t="str">
        <f>"王秋儿"</f>
        <v>王秋儿</v>
      </c>
      <c r="E4182" s="4" t="str">
        <f t="shared" si="162"/>
        <v>女</v>
      </c>
    </row>
    <row r="4183" spans="1:5" ht="30" customHeight="1">
      <c r="A4183" s="4">
        <v>4181</v>
      </c>
      <c r="B4183" s="4" t="str">
        <f>"39712022060400001188543"</f>
        <v>39712022060400001188543</v>
      </c>
      <c r="C4183" s="4" t="s">
        <v>29</v>
      </c>
      <c r="D4183" s="4" t="str">
        <f>"王菲"</f>
        <v>王菲</v>
      </c>
      <c r="E4183" s="4" t="str">
        <f t="shared" si="162"/>
        <v>女</v>
      </c>
    </row>
    <row r="4184" spans="1:5" ht="30" customHeight="1">
      <c r="A4184" s="4">
        <v>4182</v>
      </c>
      <c r="B4184" s="4" t="str">
        <f>"39712022060409562288668"</f>
        <v>39712022060409562288668</v>
      </c>
      <c r="C4184" s="4" t="s">
        <v>29</v>
      </c>
      <c r="D4184" s="4" t="str">
        <f>"邢莉莉"</f>
        <v>邢莉莉</v>
      </c>
      <c r="E4184" s="4" t="str">
        <f t="shared" si="162"/>
        <v>女</v>
      </c>
    </row>
    <row r="4185" spans="1:5" ht="30" customHeight="1">
      <c r="A4185" s="4">
        <v>4183</v>
      </c>
      <c r="B4185" s="4" t="str">
        <f>"39712022060413240888921"</f>
        <v>39712022060413240888921</v>
      </c>
      <c r="C4185" s="4" t="s">
        <v>29</v>
      </c>
      <c r="D4185" s="4" t="str">
        <f>"邢清瑶"</f>
        <v>邢清瑶</v>
      </c>
      <c r="E4185" s="4" t="str">
        <f t="shared" si="162"/>
        <v>女</v>
      </c>
    </row>
    <row r="4186" spans="1:5" ht="30" customHeight="1">
      <c r="A4186" s="4">
        <v>4184</v>
      </c>
      <c r="B4186" s="4" t="str">
        <f>"39712022060413435288928"</f>
        <v>39712022060413435288928</v>
      </c>
      <c r="C4186" s="4" t="s">
        <v>29</v>
      </c>
      <c r="D4186" s="4" t="str">
        <f>"吴霞梅"</f>
        <v>吴霞梅</v>
      </c>
      <c r="E4186" s="4" t="str">
        <f t="shared" si="162"/>
        <v>女</v>
      </c>
    </row>
    <row r="4187" spans="1:5" ht="30" customHeight="1">
      <c r="A4187" s="4">
        <v>4185</v>
      </c>
      <c r="B4187" s="4" t="str">
        <f>"39712022060417040889129"</f>
        <v>39712022060417040889129</v>
      </c>
      <c r="C4187" s="4" t="s">
        <v>29</v>
      </c>
      <c r="D4187" s="4" t="str">
        <f>"李笔秋"</f>
        <v>李笔秋</v>
      </c>
      <c r="E4187" s="4" t="str">
        <f t="shared" si="162"/>
        <v>女</v>
      </c>
    </row>
    <row r="4188" spans="1:5" ht="30" customHeight="1">
      <c r="A4188" s="4">
        <v>4186</v>
      </c>
      <c r="B4188" s="4" t="str">
        <f>"39712022060418064389190"</f>
        <v>39712022060418064389190</v>
      </c>
      <c r="C4188" s="4" t="s">
        <v>29</v>
      </c>
      <c r="D4188" s="4" t="str">
        <f>"陈晶晶"</f>
        <v>陈晶晶</v>
      </c>
      <c r="E4188" s="4" t="str">
        <f t="shared" si="162"/>
        <v>女</v>
      </c>
    </row>
    <row r="4189" spans="1:5" ht="30" customHeight="1">
      <c r="A4189" s="4">
        <v>4187</v>
      </c>
      <c r="B4189" s="4" t="str">
        <f>"39712022060419164889258"</f>
        <v>39712022060419164889258</v>
      </c>
      <c r="C4189" s="4" t="s">
        <v>29</v>
      </c>
      <c r="D4189" s="4" t="str">
        <f>"王娜"</f>
        <v>王娜</v>
      </c>
      <c r="E4189" s="4" t="str">
        <f t="shared" si="162"/>
        <v>女</v>
      </c>
    </row>
    <row r="4190" spans="1:5" ht="30" customHeight="1">
      <c r="A4190" s="4">
        <v>4188</v>
      </c>
      <c r="B4190" s="4" t="str">
        <f>"39712022060420140589310"</f>
        <v>39712022060420140589310</v>
      </c>
      <c r="C4190" s="4" t="s">
        <v>29</v>
      </c>
      <c r="D4190" s="4" t="str">
        <f>"施美虹"</f>
        <v>施美虹</v>
      </c>
      <c r="E4190" s="4" t="str">
        <f t="shared" si="162"/>
        <v>女</v>
      </c>
    </row>
    <row r="4191" spans="1:5" ht="30" customHeight="1">
      <c r="A4191" s="4">
        <v>4189</v>
      </c>
      <c r="B4191" s="4" t="str">
        <f>"39712022060420451789340"</f>
        <v>39712022060420451789340</v>
      </c>
      <c r="C4191" s="4" t="s">
        <v>29</v>
      </c>
      <c r="D4191" s="4" t="str">
        <f>"林建娥"</f>
        <v>林建娥</v>
      </c>
      <c r="E4191" s="4" t="str">
        <f t="shared" si="162"/>
        <v>女</v>
      </c>
    </row>
    <row r="4192" spans="1:5" ht="30" customHeight="1">
      <c r="A4192" s="4">
        <v>4190</v>
      </c>
      <c r="B4192" s="4" t="str">
        <f>"39712022060420472989343"</f>
        <v>39712022060420472989343</v>
      </c>
      <c r="C4192" s="4" t="s">
        <v>29</v>
      </c>
      <c r="D4192" s="4" t="str">
        <f>"陈学慧"</f>
        <v>陈学慧</v>
      </c>
      <c r="E4192" s="4" t="str">
        <f t="shared" si="162"/>
        <v>女</v>
      </c>
    </row>
    <row r="4193" spans="1:5" ht="30" customHeight="1">
      <c r="A4193" s="4">
        <v>4191</v>
      </c>
      <c r="B4193" s="4" t="str">
        <f>"39712022060509531689709"</f>
        <v>39712022060509531689709</v>
      </c>
      <c r="C4193" s="4" t="s">
        <v>29</v>
      </c>
      <c r="D4193" s="4" t="str">
        <f>"符瑜"</f>
        <v>符瑜</v>
      </c>
      <c r="E4193" s="4" t="str">
        <f t="shared" si="162"/>
        <v>女</v>
      </c>
    </row>
    <row r="4194" spans="1:5" ht="30" customHeight="1">
      <c r="A4194" s="4">
        <v>4192</v>
      </c>
      <c r="B4194" s="4" t="str">
        <f>"39712022060509555389715"</f>
        <v>39712022060509555389715</v>
      </c>
      <c r="C4194" s="4" t="s">
        <v>29</v>
      </c>
      <c r="D4194" s="4" t="str">
        <f>"崔丽芳"</f>
        <v>崔丽芳</v>
      </c>
      <c r="E4194" s="4" t="str">
        <f t="shared" si="162"/>
        <v>女</v>
      </c>
    </row>
    <row r="4195" spans="1:5" ht="30" customHeight="1">
      <c r="A4195" s="4">
        <v>4193</v>
      </c>
      <c r="B4195" s="4" t="str">
        <f>"39712022060511315289896"</f>
        <v>39712022060511315289896</v>
      </c>
      <c r="C4195" s="4" t="s">
        <v>29</v>
      </c>
      <c r="D4195" s="4" t="str">
        <f>"梅秀兰"</f>
        <v>梅秀兰</v>
      </c>
      <c r="E4195" s="4" t="str">
        <f t="shared" si="162"/>
        <v>女</v>
      </c>
    </row>
    <row r="4196" spans="1:5" ht="30" customHeight="1">
      <c r="A4196" s="4">
        <v>4194</v>
      </c>
      <c r="B4196" s="4" t="str">
        <f>"39712022060513445390073"</f>
        <v>39712022060513445390073</v>
      </c>
      <c r="C4196" s="4" t="s">
        <v>29</v>
      </c>
      <c r="D4196" s="4" t="str">
        <f>"叶丹"</f>
        <v>叶丹</v>
      </c>
      <c r="E4196" s="4" t="str">
        <f t="shared" si="162"/>
        <v>女</v>
      </c>
    </row>
    <row r="4197" spans="1:5" ht="30" customHeight="1">
      <c r="A4197" s="4">
        <v>4195</v>
      </c>
      <c r="B4197" s="4" t="str">
        <f>"39712022060514581690158"</f>
        <v>39712022060514581690158</v>
      </c>
      <c r="C4197" s="4" t="s">
        <v>29</v>
      </c>
      <c r="D4197" s="4" t="str">
        <f>"王乙如"</f>
        <v>王乙如</v>
      </c>
      <c r="E4197" s="4" t="str">
        <f t="shared" si="162"/>
        <v>女</v>
      </c>
    </row>
    <row r="4198" spans="1:5" ht="30" customHeight="1">
      <c r="A4198" s="4">
        <v>4196</v>
      </c>
      <c r="B4198" s="4" t="str">
        <f>"39712022060516462990307"</f>
        <v>39712022060516462990307</v>
      </c>
      <c r="C4198" s="4" t="s">
        <v>29</v>
      </c>
      <c r="D4198" s="4" t="str">
        <f>"苏海沙"</f>
        <v>苏海沙</v>
      </c>
      <c r="E4198" s="4" t="str">
        <f t="shared" si="162"/>
        <v>女</v>
      </c>
    </row>
    <row r="4199" spans="1:5" ht="30" customHeight="1">
      <c r="A4199" s="4">
        <v>4197</v>
      </c>
      <c r="B4199" s="4" t="str">
        <f>"39712022060517031290335"</f>
        <v>39712022060517031290335</v>
      </c>
      <c r="C4199" s="4" t="s">
        <v>29</v>
      </c>
      <c r="D4199" s="4" t="str">
        <f>"黎传茂"</f>
        <v>黎传茂</v>
      </c>
      <c r="E4199" s="4" t="str">
        <f>"男"</f>
        <v>男</v>
      </c>
    </row>
    <row r="4200" spans="1:5" ht="30" customHeight="1">
      <c r="A4200" s="4">
        <v>4198</v>
      </c>
      <c r="B4200" s="4" t="str">
        <f>"39712022060519450790541"</f>
        <v>39712022060519450790541</v>
      </c>
      <c r="C4200" s="4" t="s">
        <v>29</v>
      </c>
      <c r="D4200" s="4" t="str">
        <f>"曾尚标"</f>
        <v>曾尚标</v>
      </c>
      <c r="E4200" s="4" t="str">
        <f>"男"</f>
        <v>男</v>
      </c>
    </row>
    <row r="4201" spans="1:5" ht="30" customHeight="1">
      <c r="A4201" s="4">
        <v>4199</v>
      </c>
      <c r="B4201" s="4" t="str">
        <f>"39712022060519553290558"</f>
        <v>39712022060519553290558</v>
      </c>
      <c r="C4201" s="4" t="s">
        <v>29</v>
      </c>
      <c r="D4201" s="4" t="str">
        <f>"金风坤"</f>
        <v>金风坤</v>
      </c>
      <c r="E4201" s="4" t="str">
        <f aca="true" t="shared" si="163" ref="E4201:E4225">"女"</f>
        <v>女</v>
      </c>
    </row>
    <row r="4202" spans="1:5" ht="30" customHeight="1">
      <c r="A4202" s="4">
        <v>4200</v>
      </c>
      <c r="B4202" s="4" t="str">
        <f>"39712022060522364690878"</f>
        <v>39712022060522364690878</v>
      </c>
      <c r="C4202" s="4" t="s">
        <v>29</v>
      </c>
      <c r="D4202" s="4" t="str">
        <f>"康晓冉"</f>
        <v>康晓冉</v>
      </c>
      <c r="E4202" s="4" t="str">
        <f t="shared" si="163"/>
        <v>女</v>
      </c>
    </row>
    <row r="4203" spans="1:5" ht="30" customHeight="1">
      <c r="A4203" s="4">
        <v>4201</v>
      </c>
      <c r="B4203" s="4" t="str">
        <f>"39712022060522502290898"</f>
        <v>39712022060522502290898</v>
      </c>
      <c r="C4203" s="4" t="s">
        <v>29</v>
      </c>
      <c r="D4203" s="4" t="str">
        <f>"陆梦雅"</f>
        <v>陆梦雅</v>
      </c>
      <c r="E4203" s="4" t="str">
        <f t="shared" si="163"/>
        <v>女</v>
      </c>
    </row>
    <row r="4204" spans="1:5" ht="30" customHeight="1">
      <c r="A4204" s="4">
        <v>4202</v>
      </c>
      <c r="B4204" s="4" t="str">
        <f>"39712022060523574290982"</f>
        <v>39712022060523574290982</v>
      </c>
      <c r="C4204" s="4" t="s">
        <v>29</v>
      </c>
      <c r="D4204" s="4" t="str">
        <f>"韩海燕"</f>
        <v>韩海燕</v>
      </c>
      <c r="E4204" s="4" t="str">
        <f t="shared" si="163"/>
        <v>女</v>
      </c>
    </row>
    <row r="4205" spans="1:5" ht="30" customHeight="1">
      <c r="A4205" s="4">
        <v>4203</v>
      </c>
      <c r="B4205" s="4" t="str">
        <f>"39712022060607475991050"</f>
        <v>39712022060607475991050</v>
      </c>
      <c r="C4205" s="4" t="s">
        <v>29</v>
      </c>
      <c r="D4205" s="4" t="str">
        <f>"蒋月英"</f>
        <v>蒋月英</v>
      </c>
      <c r="E4205" s="4" t="str">
        <f t="shared" si="163"/>
        <v>女</v>
      </c>
    </row>
    <row r="4206" spans="1:5" ht="30" customHeight="1">
      <c r="A4206" s="4">
        <v>4204</v>
      </c>
      <c r="B4206" s="4" t="str">
        <f>"39712022060607595691057"</f>
        <v>39712022060607595691057</v>
      </c>
      <c r="C4206" s="4" t="s">
        <v>29</v>
      </c>
      <c r="D4206" s="4" t="str">
        <f>"吴双华"</f>
        <v>吴双华</v>
      </c>
      <c r="E4206" s="4" t="str">
        <f t="shared" si="163"/>
        <v>女</v>
      </c>
    </row>
    <row r="4207" spans="1:5" ht="30" customHeight="1">
      <c r="A4207" s="4">
        <v>4205</v>
      </c>
      <c r="B4207" s="4" t="str">
        <f>"39712022060609183592010"</f>
        <v>39712022060609183592010</v>
      </c>
      <c r="C4207" s="4" t="s">
        <v>29</v>
      </c>
      <c r="D4207" s="4" t="str">
        <f>"符传虹"</f>
        <v>符传虹</v>
      </c>
      <c r="E4207" s="4" t="str">
        <f t="shared" si="163"/>
        <v>女</v>
      </c>
    </row>
    <row r="4208" spans="1:5" ht="30" customHeight="1">
      <c r="A4208" s="4">
        <v>4206</v>
      </c>
      <c r="B4208" s="4" t="str">
        <f>"39712022060609272992278"</f>
        <v>39712022060609272992278</v>
      </c>
      <c r="C4208" s="4" t="s">
        <v>29</v>
      </c>
      <c r="D4208" s="4" t="str">
        <f>"吴济慧"</f>
        <v>吴济慧</v>
      </c>
      <c r="E4208" s="4" t="str">
        <f t="shared" si="163"/>
        <v>女</v>
      </c>
    </row>
    <row r="4209" spans="1:5" ht="30" customHeight="1">
      <c r="A4209" s="4">
        <v>4207</v>
      </c>
      <c r="B4209" s="4" t="str">
        <f>"39712022060609301792365"</f>
        <v>39712022060609301792365</v>
      </c>
      <c r="C4209" s="4" t="s">
        <v>29</v>
      </c>
      <c r="D4209" s="4" t="str">
        <f>"禤明玥"</f>
        <v>禤明玥</v>
      </c>
      <c r="E4209" s="4" t="str">
        <f t="shared" si="163"/>
        <v>女</v>
      </c>
    </row>
    <row r="4210" spans="1:5" ht="30" customHeight="1">
      <c r="A4210" s="4">
        <v>4208</v>
      </c>
      <c r="B4210" s="4" t="str">
        <f>"39712022060609425992710"</f>
        <v>39712022060609425992710</v>
      </c>
      <c r="C4210" s="4" t="s">
        <v>29</v>
      </c>
      <c r="D4210" s="4" t="str">
        <f>"陈海珍"</f>
        <v>陈海珍</v>
      </c>
      <c r="E4210" s="4" t="str">
        <f t="shared" si="163"/>
        <v>女</v>
      </c>
    </row>
    <row r="4211" spans="1:5" ht="30" customHeight="1">
      <c r="A4211" s="4">
        <v>4209</v>
      </c>
      <c r="B4211" s="4" t="str">
        <f>"39712022060609565293078"</f>
        <v>39712022060609565293078</v>
      </c>
      <c r="C4211" s="4" t="s">
        <v>29</v>
      </c>
      <c r="D4211" s="4" t="str">
        <f>"孟婷婷"</f>
        <v>孟婷婷</v>
      </c>
      <c r="E4211" s="4" t="str">
        <f t="shared" si="163"/>
        <v>女</v>
      </c>
    </row>
    <row r="4212" spans="1:5" ht="30" customHeight="1">
      <c r="A4212" s="4">
        <v>4210</v>
      </c>
      <c r="B4212" s="4" t="str">
        <f>"39712022060610252493796"</f>
        <v>39712022060610252493796</v>
      </c>
      <c r="C4212" s="4" t="s">
        <v>29</v>
      </c>
      <c r="D4212" s="4" t="str">
        <f>"王少完"</f>
        <v>王少完</v>
      </c>
      <c r="E4212" s="4" t="str">
        <f t="shared" si="163"/>
        <v>女</v>
      </c>
    </row>
    <row r="4213" spans="1:5" ht="30" customHeight="1">
      <c r="A4213" s="4">
        <v>4211</v>
      </c>
      <c r="B4213" s="4" t="str">
        <f>"39712022060610411394196"</f>
        <v>39712022060610411394196</v>
      </c>
      <c r="C4213" s="4" t="s">
        <v>29</v>
      </c>
      <c r="D4213" s="4" t="str">
        <f>"杨杨"</f>
        <v>杨杨</v>
      </c>
      <c r="E4213" s="4" t="str">
        <f t="shared" si="163"/>
        <v>女</v>
      </c>
    </row>
    <row r="4214" spans="1:5" ht="30" customHeight="1">
      <c r="A4214" s="4">
        <v>4212</v>
      </c>
      <c r="B4214" s="4" t="str">
        <f>"39712022060611295295166"</f>
        <v>39712022060611295295166</v>
      </c>
      <c r="C4214" s="4" t="s">
        <v>29</v>
      </c>
      <c r="D4214" s="4" t="str">
        <f>"万梅卿"</f>
        <v>万梅卿</v>
      </c>
      <c r="E4214" s="4" t="str">
        <f t="shared" si="163"/>
        <v>女</v>
      </c>
    </row>
    <row r="4215" spans="1:5" ht="30" customHeight="1">
      <c r="A4215" s="4">
        <v>4213</v>
      </c>
      <c r="B4215" s="4" t="str">
        <f>"39712022060612260095961"</f>
        <v>39712022060612260095961</v>
      </c>
      <c r="C4215" s="4" t="s">
        <v>29</v>
      </c>
      <c r="D4215" s="4" t="str">
        <f>"甘芷瑜"</f>
        <v>甘芷瑜</v>
      </c>
      <c r="E4215" s="4" t="str">
        <f t="shared" si="163"/>
        <v>女</v>
      </c>
    </row>
    <row r="4216" spans="1:5" ht="30" customHeight="1">
      <c r="A4216" s="4">
        <v>4214</v>
      </c>
      <c r="B4216" s="4" t="str">
        <f>"39712022060612403596129"</f>
        <v>39712022060612403596129</v>
      </c>
      <c r="C4216" s="4" t="s">
        <v>29</v>
      </c>
      <c r="D4216" s="4" t="str">
        <f>"苏高玲"</f>
        <v>苏高玲</v>
      </c>
      <c r="E4216" s="4" t="str">
        <f t="shared" si="163"/>
        <v>女</v>
      </c>
    </row>
    <row r="4217" spans="1:5" ht="30" customHeight="1">
      <c r="A4217" s="4">
        <v>4215</v>
      </c>
      <c r="B4217" s="4" t="str">
        <f>"39712022060613410296698"</f>
        <v>39712022060613410296698</v>
      </c>
      <c r="C4217" s="4" t="s">
        <v>29</v>
      </c>
      <c r="D4217" s="4" t="str">
        <f>"马青青"</f>
        <v>马青青</v>
      </c>
      <c r="E4217" s="4" t="str">
        <f t="shared" si="163"/>
        <v>女</v>
      </c>
    </row>
    <row r="4218" spans="1:5" ht="30" customHeight="1">
      <c r="A4218" s="4">
        <v>4216</v>
      </c>
      <c r="B4218" s="4" t="str">
        <f>"39712022060615183697751"</f>
        <v>39712022060615183697751</v>
      </c>
      <c r="C4218" s="4" t="s">
        <v>29</v>
      </c>
      <c r="D4218" s="4" t="str">
        <f>"洪小娇"</f>
        <v>洪小娇</v>
      </c>
      <c r="E4218" s="4" t="str">
        <f t="shared" si="163"/>
        <v>女</v>
      </c>
    </row>
    <row r="4219" spans="1:5" ht="30" customHeight="1">
      <c r="A4219" s="4">
        <v>4217</v>
      </c>
      <c r="B4219" s="4" t="str">
        <f>"39712022060616095698450"</f>
        <v>39712022060616095698450</v>
      </c>
      <c r="C4219" s="4" t="s">
        <v>29</v>
      </c>
      <c r="D4219" s="4" t="str">
        <f>"孙洁"</f>
        <v>孙洁</v>
      </c>
      <c r="E4219" s="4" t="str">
        <f t="shared" si="163"/>
        <v>女</v>
      </c>
    </row>
    <row r="4220" spans="1:5" ht="30" customHeight="1">
      <c r="A4220" s="4">
        <v>4218</v>
      </c>
      <c r="B4220" s="4" t="str">
        <f>"39712022060616422198876"</f>
        <v>39712022060616422198876</v>
      </c>
      <c r="C4220" s="4" t="s">
        <v>29</v>
      </c>
      <c r="D4220" s="4" t="str">
        <f>"邓依"</f>
        <v>邓依</v>
      </c>
      <c r="E4220" s="4" t="str">
        <f t="shared" si="163"/>
        <v>女</v>
      </c>
    </row>
    <row r="4221" spans="1:5" ht="30" customHeight="1">
      <c r="A4221" s="4">
        <v>4219</v>
      </c>
      <c r="B4221" s="4" t="str">
        <f>"39712022060616433698895"</f>
        <v>39712022060616433698895</v>
      </c>
      <c r="C4221" s="4" t="s">
        <v>29</v>
      </c>
      <c r="D4221" s="4" t="str">
        <f>"文新芬"</f>
        <v>文新芬</v>
      </c>
      <c r="E4221" s="4" t="str">
        <f t="shared" si="163"/>
        <v>女</v>
      </c>
    </row>
    <row r="4222" spans="1:5" ht="30" customHeight="1">
      <c r="A4222" s="4">
        <v>4220</v>
      </c>
      <c r="B4222" s="4" t="str">
        <f>"39712022060618032299699"</f>
        <v>39712022060618032299699</v>
      </c>
      <c r="C4222" s="4" t="s">
        <v>29</v>
      </c>
      <c r="D4222" s="4" t="str">
        <f>"谢一花"</f>
        <v>谢一花</v>
      </c>
      <c r="E4222" s="4" t="str">
        <f t="shared" si="163"/>
        <v>女</v>
      </c>
    </row>
    <row r="4223" spans="1:5" ht="30" customHeight="1">
      <c r="A4223" s="4">
        <v>4221</v>
      </c>
      <c r="B4223" s="4" t="str">
        <f>"397120220606185258100112"</f>
        <v>397120220606185258100112</v>
      </c>
      <c r="C4223" s="4" t="s">
        <v>29</v>
      </c>
      <c r="D4223" s="4" t="str">
        <f>"卢苹"</f>
        <v>卢苹</v>
      </c>
      <c r="E4223" s="4" t="str">
        <f t="shared" si="163"/>
        <v>女</v>
      </c>
    </row>
    <row r="4224" spans="1:5" ht="30" customHeight="1">
      <c r="A4224" s="4">
        <v>4222</v>
      </c>
      <c r="B4224" s="4" t="str">
        <f>"397120220606193308100433"</f>
        <v>397120220606193308100433</v>
      </c>
      <c r="C4224" s="4" t="s">
        <v>29</v>
      </c>
      <c r="D4224" s="4" t="str">
        <f>"邢孔香"</f>
        <v>邢孔香</v>
      </c>
      <c r="E4224" s="4" t="str">
        <f t="shared" si="163"/>
        <v>女</v>
      </c>
    </row>
    <row r="4225" spans="1:5" ht="30" customHeight="1">
      <c r="A4225" s="4">
        <v>4223</v>
      </c>
      <c r="B4225" s="4" t="str">
        <f>"397120220606204425101010"</f>
        <v>397120220606204425101010</v>
      </c>
      <c r="C4225" s="4" t="s">
        <v>29</v>
      </c>
      <c r="D4225" s="4" t="str">
        <f>"黄海雪"</f>
        <v>黄海雪</v>
      </c>
      <c r="E4225" s="4" t="str">
        <f t="shared" si="163"/>
        <v>女</v>
      </c>
    </row>
    <row r="4226" spans="1:5" ht="30" customHeight="1">
      <c r="A4226" s="4">
        <v>4224</v>
      </c>
      <c r="B4226" s="4" t="str">
        <f>"397120220606214411101509"</f>
        <v>397120220606214411101509</v>
      </c>
      <c r="C4226" s="4" t="s">
        <v>29</v>
      </c>
      <c r="D4226" s="4" t="str">
        <f>"李厚薪"</f>
        <v>李厚薪</v>
      </c>
      <c r="E4226" s="4" t="str">
        <f>"男"</f>
        <v>男</v>
      </c>
    </row>
    <row r="4227" spans="1:5" ht="30" customHeight="1">
      <c r="A4227" s="4">
        <v>4225</v>
      </c>
      <c r="B4227" s="4" t="str">
        <f>"397120220606215714101634"</f>
        <v>397120220606215714101634</v>
      </c>
      <c r="C4227" s="4" t="s">
        <v>29</v>
      </c>
      <c r="D4227" s="4" t="str">
        <f>"周林琳"</f>
        <v>周林琳</v>
      </c>
      <c r="E4227" s="4" t="str">
        <f>"女"</f>
        <v>女</v>
      </c>
    </row>
    <row r="4228" spans="1:5" ht="30" customHeight="1">
      <c r="A4228" s="4">
        <v>4226</v>
      </c>
      <c r="B4228" s="4" t="str">
        <f>"397120220606223945102016"</f>
        <v>397120220606223945102016</v>
      </c>
      <c r="C4228" s="4" t="s">
        <v>29</v>
      </c>
      <c r="D4228" s="4" t="str">
        <f>"容端"</f>
        <v>容端</v>
      </c>
      <c r="E4228" s="4" t="str">
        <f>"女"</f>
        <v>女</v>
      </c>
    </row>
    <row r="4229" spans="1:5" ht="30" customHeight="1">
      <c r="A4229" s="4">
        <v>4227</v>
      </c>
      <c r="B4229" s="4" t="str">
        <f>"397120220606235203102380"</f>
        <v>397120220606235203102380</v>
      </c>
      <c r="C4229" s="4" t="s">
        <v>29</v>
      </c>
      <c r="D4229" s="4" t="str">
        <f>"雷东"</f>
        <v>雷东</v>
      </c>
      <c r="E4229" s="4" t="str">
        <f>"男"</f>
        <v>男</v>
      </c>
    </row>
    <row r="4230" spans="1:5" ht="30" customHeight="1">
      <c r="A4230" s="4">
        <v>4228</v>
      </c>
      <c r="B4230" s="4" t="str">
        <f>"397120220607001922102441"</f>
        <v>397120220607001922102441</v>
      </c>
      <c r="C4230" s="4" t="s">
        <v>29</v>
      </c>
      <c r="D4230" s="4" t="str">
        <f>"王环"</f>
        <v>王环</v>
      </c>
      <c r="E4230" s="4" t="str">
        <f>"女"</f>
        <v>女</v>
      </c>
    </row>
    <row r="4231" spans="1:5" ht="30" customHeight="1">
      <c r="A4231" s="4">
        <v>4229</v>
      </c>
      <c r="B4231" s="4" t="str">
        <f>"397120220607014044102522"</f>
        <v>397120220607014044102522</v>
      </c>
      <c r="C4231" s="4" t="s">
        <v>29</v>
      </c>
      <c r="D4231" s="4" t="str">
        <f>"周文静"</f>
        <v>周文静</v>
      </c>
      <c r="E4231" s="4" t="str">
        <f>"女"</f>
        <v>女</v>
      </c>
    </row>
    <row r="4232" spans="1:5" ht="30" customHeight="1">
      <c r="A4232" s="4">
        <v>4230</v>
      </c>
      <c r="B4232" s="4" t="str">
        <f>"397120220607081820102795"</f>
        <v>397120220607081820102795</v>
      </c>
      <c r="C4232" s="4" t="s">
        <v>29</v>
      </c>
      <c r="D4232" s="4" t="str">
        <f>"张裕正"</f>
        <v>张裕正</v>
      </c>
      <c r="E4232" s="4" t="str">
        <f>"男"</f>
        <v>男</v>
      </c>
    </row>
    <row r="4233" spans="1:5" ht="30" customHeight="1">
      <c r="A4233" s="4">
        <v>4231</v>
      </c>
      <c r="B4233" s="4" t="str">
        <f>"397120220607083749102951"</f>
        <v>397120220607083749102951</v>
      </c>
      <c r="C4233" s="4" t="s">
        <v>29</v>
      </c>
      <c r="D4233" s="4" t="str">
        <f>"符美月"</f>
        <v>符美月</v>
      </c>
      <c r="E4233" s="4" t="str">
        <f>"女"</f>
        <v>女</v>
      </c>
    </row>
    <row r="4234" spans="1:5" ht="30" customHeight="1">
      <c r="A4234" s="4">
        <v>4232</v>
      </c>
      <c r="B4234" s="4" t="str">
        <f>"397120220607084014102971"</f>
        <v>397120220607084014102971</v>
      </c>
      <c r="C4234" s="4" t="s">
        <v>29</v>
      </c>
      <c r="D4234" s="4" t="str">
        <f>"邢孔芸"</f>
        <v>邢孔芸</v>
      </c>
      <c r="E4234" s="4" t="str">
        <f>"女"</f>
        <v>女</v>
      </c>
    </row>
    <row r="4235" spans="1:5" ht="30" customHeight="1">
      <c r="A4235" s="4">
        <v>4233</v>
      </c>
      <c r="B4235" s="4" t="str">
        <f>"397120220607103545104488"</f>
        <v>397120220607103545104488</v>
      </c>
      <c r="C4235" s="4" t="s">
        <v>29</v>
      </c>
      <c r="D4235" s="4" t="str">
        <f>"谢香梅"</f>
        <v>谢香梅</v>
      </c>
      <c r="E4235" s="4" t="str">
        <f>"女"</f>
        <v>女</v>
      </c>
    </row>
    <row r="4236" spans="1:5" ht="30" customHeight="1">
      <c r="A4236" s="4">
        <v>4234</v>
      </c>
      <c r="B4236" s="4" t="str">
        <f>"397120220607114109105257"</f>
        <v>397120220607114109105257</v>
      </c>
      <c r="C4236" s="4" t="s">
        <v>29</v>
      </c>
      <c r="D4236" s="4" t="str">
        <f>"陈光墉"</f>
        <v>陈光墉</v>
      </c>
      <c r="E4236" s="4" t="str">
        <f>"男"</f>
        <v>男</v>
      </c>
    </row>
    <row r="4237" spans="1:5" ht="30" customHeight="1">
      <c r="A4237" s="4">
        <v>4235</v>
      </c>
      <c r="B4237" s="4" t="str">
        <f>"397120220607121538105553"</f>
        <v>397120220607121538105553</v>
      </c>
      <c r="C4237" s="4" t="s">
        <v>29</v>
      </c>
      <c r="D4237" s="4" t="str">
        <f>"苏伟静"</f>
        <v>苏伟静</v>
      </c>
      <c r="E4237" s="4" t="str">
        <f>"女"</f>
        <v>女</v>
      </c>
    </row>
    <row r="4238" spans="1:5" ht="30" customHeight="1">
      <c r="A4238" s="4">
        <v>4236</v>
      </c>
      <c r="B4238" s="4" t="str">
        <f>"397120220607172445108215"</f>
        <v>397120220607172445108215</v>
      </c>
      <c r="C4238" s="4" t="s">
        <v>29</v>
      </c>
      <c r="D4238" s="4" t="str">
        <f>"黄娇"</f>
        <v>黄娇</v>
      </c>
      <c r="E4238" s="4" t="str">
        <f>"女"</f>
        <v>女</v>
      </c>
    </row>
    <row r="4239" spans="1:5" ht="30" customHeight="1">
      <c r="A4239" s="4">
        <v>4237</v>
      </c>
      <c r="B4239" s="4" t="str">
        <f>"397120220607174946108405"</f>
        <v>397120220607174946108405</v>
      </c>
      <c r="C4239" s="4" t="s">
        <v>29</v>
      </c>
      <c r="D4239" s="4" t="str">
        <f>"汪鹏"</f>
        <v>汪鹏</v>
      </c>
      <c r="E4239" s="4" t="str">
        <f>"男"</f>
        <v>男</v>
      </c>
    </row>
    <row r="4240" spans="1:5" ht="30" customHeight="1">
      <c r="A4240" s="4">
        <v>4238</v>
      </c>
      <c r="B4240" s="4" t="str">
        <f>"397120220607194244109087"</f>
        <v>397120220607194244109087</v>
      </c>
      <c r="C4240" s="4" t="s">
        <v>29</v>
      </c>
      <c r="D4240" s="4" t="str">
        <f>"李静"</f>
        <v>李静</v>
      </c>
      <c r="E4240" s="4" t="str">
        <f>"女"</f>
        <v>女</v>
      </c>
    </row>
    <row r="4241" spans="1:5" ht="30" customHeight="1">
      <c r="A4241" s="4">
        <v>4239</v>
      </c>
      <c r="B4241" s="4" t="str">
        <f>"397120220607195327109164"</f>
        <v>397120220607195327109164</v>
      </c>
      <c r="C4241" s="4" t="s">
        <v>29</v>
      </c>
      <c r="D4241" s="4" t="str">
        <f>"符雅雲"</f>
        <v>符雅雲</v>
      </c>
      <c r="E4241" s="4" t="str">
        <f>"女"</f>
        <v>女</v>
      </c>
    </row>
    <row r="4242" spans="1:5" ht="30" customHeight="1">
      <c r="A4242" s="4">
        <v>4240</v>
      </c>
      <c r="B4242" s="4" t="str">
        <f>"397120220607200421109216"</f>
        <v>397120220607200421109216</v>
      </c>
      <c r="C4242" s="4" t="s">
        <v>29</v>
      </c>
      <c r="D4242" s="4" t="str">
        <f>"许琼月"</f>
        <v>许琼月</v>
      </c>
      <c r="E4242" s="4" t="str">
        <f>"女"</f>
        <v>女</v>
      </c>
    </row>
    <row r="4243" spans="1:5" ht="30" customHeight="1">
      <c r="A4243" s="4">
        <v>4241</v>
      </c>
      <c r="B4243" s="4" t="str">
        <f>"397120220607233936110553"</f>
        <v>397120220607233936110553</v>
      </c>
      <c r="C4243" s="4" t="s">
        <v>29</v>
      </c>
      <c r="D4243" s="4" t="str">
        <f>"刘敏"</f>
        <v>刘敏</v>
      </c>
      <c r="E4243" s="4" t="str">
        <f>"女"</f>
        <v>女</v>
      </c>
    </row>
    <row r="4244" spans="1:5" ht="30" customHeight="1">
      <c r="A4244" s="4">
        <v>4242</v>
      </c>
      <c r="B4244" s="4" t="str">
        <f>"397120220607234609110579"</f>
        <v>397120220607234609110579</v>
      </c>
      <c r="C4244" s="4" t="s">
        <v>29</v>
      </c>
      <c r="D4244" s="4" t="str">
        <f>"何芳婷"</f>
        <v>何芳婷</v>
      </c>
      <c r="E4244" s="4" t="str">
        <f>"女"</f>
        <v>女</v>
      </c>
    </row>
    <row r="4245" spans="1:5" ht="30" customHeight="1">
      <c r="A4245" s="4">
        <v>4243</v>
      </c>
      <c r="B4245" s="4" t="str">
        <f>"397120220608083245110998"</f>
        <v>397120220608083245110998</v>
      </c>
      <c r="C4245" s="4" t="s">
        <v>29</v>
      </c>
      <c r="D4245" s="4" t="str">
        <f>"王华汉"</f>
        <v>王华汉</v>
      </c>
      <c r="E4245" s="4" t="str">
        <f>"男"</f>
        <v>男</v>
      </c>
    </row>
    <row r="4246" spans="1:5" ht="30" customHeight="1">
      <c r="A4246" s="4">
        <v>4244</v>
      </c>
      <c r="B4246" s="4" t="str">
        <f>"397120220608085440111164"</f>
        <v>397120220608085440111164</v>
      </c>
      <c r="C4246" s="4" t="s">
        <v>29</v>
      </c>
      <c r="D4246" s="4" t="str">
        <f>"冯丹丹"</f>
        <v>冯丹丹</v>
      </c>
      <c r="E4246" s="4" t="str">
        <f>"女"</f>
        <v>女</v>
      </c>
    </row>
    <row r="4247" spans="1:5" ht="30" customHeight="1">
      <c r="A4247" s="4">
        <v>4245</v>
      </c>
      <c r="B4247" s="4" t="str">
        <f>"397120220608100827111760"</f>
        <v>397120220608100827111760</v>
      </c>
      <c r="C4247" s="4" t="s">
        <v>29</v>
      </c>
      <c r="D4247" s="4" t="str">
        <f>"李岩带"</f>
        <v>李岩带</v>
      </c>
      <c r="E4247" s="4" t="str">
        <f>"女"</f>
        <v>女</v>
      </c>
    </row>
    <row r="4248" spans="1:5" ht="30" customHeight="1">
      <c r="A4248" s="4">
        <v>4246</v>
      </c>
      <c r="B4248" s="4" t="str">
        <f>"397120220608104857112121"</f>
        <v>397120220608104857112121</v>
      </c>
      <c r="C4248" s="4" t="s">
        <v>29</v>
      </c>
      <c r="D4248" s="4" t="str">
        <f>"王青青"</f>
        <v>王青青</v>
      </c>
      <c r="E4248" s="4" t="str">
        <f>"女"</f>
        <v>女</v>
      </c>
    </row>
    <row r="4249" spans="1:5" ht="30" customHeight="1">
      <c r="A4249" s="4">
        <v>4247</v>
      </c>
      <c r="B4249" s="4" t="str">
        <f>"397120220608111343112338"</f>
        <v>397120220608111343112338</v>
      </c>
      <c r="C4249" s="4" t="s">
        <v>29</v>
      </c>
      <c r="D4249" s="4" t="str">
        <f>"吴荣尧"</f>
        <v>吴荣尧</v>
      </c>
      <c r="E4249" s="4" t="str">
        <f>"男"</f>
        <v>男</v>
      </c>
    </row>
    <row r="4250" spans="1:5" ht="30" customHeight="1">
      <c r="A4250" s="4">
        <v>4248</v>
      </c>
      <c r="B4250" s="4" t="str">
        <f>"39712022060109104078276"</f>
        <v>39712022060109104078276</v>
      </c>
      <c r="C4250" s="4" t="s">
        <v>30</v>
      </c>
      <c r="D4250" s="4" t="str">
        <f>"李芳"</f>
        <v>李芳</v>
      </c>
      <c r="E4250" s="4" t="str">
        <f>"女"</f>
        <v>女</v>
      </c>
    </row>
    <row r="4251" spans="1:5" ht="30" customHeight="1">
      <c r="A4251" s="4">
        <v>4249</v>
      </c>
      <c r="B4251" s="4" t="str">
        <f>"39712022060109185678351"</f>
        <v>39712022060109185678351</v>
      </c>
      <c r="C4251" s="4" t="s">
        <v>30</v>
      </c>
      <c r="D4251" s="4" t="str">
        <f>"郭珍"</f>
        <v>郭珍</v>
      </c>
      <c r="E4251" s="4" t="str">
        <f>"女"</f>
        <v>女</v>
      </c>
    </row>
    <row r="4252" spans="1:5" ht="30" customHeight="1">
      <c r="A4252" s="4">
        <v>4250</v>
      </c>
      <c r="B4252" s="4" t="str">
        <f>"39712022060109352678500"</f>
        <v>39712022060109352678500</v>
      </c>
      <c r="C4252" s="4" t="s">
        <v>30</v>
      </c>
      <c r="D4252" s="4" t="str">
        <f>"王珊"</f>
        <v>王珊</v>
      </c>
      <c r="E4252" s="4" t="str">
        <f>"女"</f>
        <v>女</v>
      </c>
    </row>
    <row r="4253" spans="1:5" ht="30" customHeight="1">
      <c r="A4253" s="4">
        <v>4251</v>
      </c>
      <c r="B4253" s="4" t="str">
        <f>"39712022060109392378533"</f>
        <v>39712022060109392378533</v>
      </c>
      <c r="C4253" s="4" t="s">
        <v>30</v>
      </c>
      <c r="D4253" s="4" t="str">
        <f>"张成艳"</f>
        <v>张成艳</v>
      </c>
      <c r="E4253" s="4" t="str">
        <f>"女"</f>
        <v>女</v>
      </c>
    </row>
    <row r="4254" spans="1:5" ht="30" customHeight="1">
      <c r="A4254" s="4">
        <v>4252</v>
      </c>
      <c r="B4254" s="4" t="str">
        <f>"39712022060110100378793"</f>
        <v>39712022060110100378793</v>
      </c>
      <c r="C4254" s="4" t="s">
        <v>30</v>
      </c>
      <c r="D4254" s="4" t="str">
        <f>"杜金泳"</f>
        <v>杜金泳</v>
      </c>
      <c r="E4254" s="4" t="str">
        <f>"男"</f>
        <v>男</v>
      </c>
    </row>
    <row r="4255" spans="1:5" ht="30" customHeight="1">
      <c r="A4255" s="4">
        <v>4253</v>
      </c>
      <c r="B4255" s="4" t="str">
        <f>"39712022060110291378948"</f>
        <v>39712022060110291378948</v>
      </c>
      <c r="C4255" s="4" t="s">
        <v>30</v>
      </c>
      <c r="D4255" s="4" t="str">
        <f>"王霞"</f>
        <v>王霞</v>
      </c>
      <c r="E4255" s="4" t="str">
        <f>"女"</f>
        <v>女</v>
      </c>
    </row>
    <row r="4256" spans="1:5" ht="30" customHeight="1">
      <c r="A4256" s="4">
        <v>4254</v>
      </c>
      <c r="B4256" s="4" t="str">
        <f>"39712022060110381279019"</f>
        <v>39712022060110381279019</v>
      </c>
      <c r="C4256" s="4" t="s">
        <v>30</v>
      </c>
      <c r="D4256" s="4" t="str">
        <f>"符慧接"</f>
        <v>符慧接</v>
      </c>
      <c r="E4256" s="4" t="str">
        <f>"女"</f>
        <v>女</v>
      </c>
    </row>
    <row r="4257" spans="1:5" ht="30" customHeight="1">
      <c r="A4257" s="4">
        <v>4255</v>
      </c>
      <c r="B4257" s="4" t="str">
        <f>"39712022060110502379117"</f>
        <v>39712022060110502379117</v>
      </c>
      <c r="C4257" s="4" t="s">
        <v>30</v>
      </c>
      <c r="D4257" s="4" t="str">
        <f>"陈川海"</f>
        <v>陈川海</v>
      </c>
      <c r="E4257" s="4" t="str">
        <f>"男"</f>
        <v>男</v>
      </c>
    </row>
    <row r="4258" spans="1:5" ht="30" customHeight="1">
      <c r="A4258" s="4">
        <v>4256</v>
      </c>
      <c r="B4258" s="4" t="str">
        <f>"39712022060110543279144"</f>
        <v>39712022060110543279144</v>
      </c>
      <c r="C4258" s="4" t="s">
        <v>30</v>
      </c>
      <c r="D4258" s="4" t="str">
        <f>"刘兰兰"</f>
        <v>刘兰兰</v>
      </c>
      <c r="E4258" s="4" t="str">
        <f aca="true" t="shared" si="164" ref="E4258:E4266">"女"</f>
        <v>女</v>
      </c>
    </row>
    <row r="4259" spans="1:5" ht="30" customHeight="1">
      <c r="A4259" s="4">
        <v>4257</v>
      </c>
      <c r="B4259" s="4" t="str">
        <f>"39712022060111291079417"</f>
        <v>39712022060111291079417</v>
      </c>
      <c r="C4259" s="4" t="s">
        <v>30</v>
      </c>
      <c r="D4259" s="4" t="str">
        <f>"郭映"</f>
        <v>郭映</v>
      </c>
      <c r="E4259" s="4" t="str">
        <f t="shared" si="164"/>
        <v>女</v>
      </c>
    </row>
    <row r="4260" spans="1:5" ht="30" customHeight="1">
      <c r="A4260" s="4">
        <v>4258</v>
      </c>
      <c r="B4260" s="4" t="str">
        <f>"39712022060111593479596"</f>
        <v>39712022060111593479596</v>
      </c>
      <c r="C4260" s="4" t="s">
        <v>30</v>
      </c>
      <c r="D4260" s="4" t="str">
        <f>"高倩"</f>
        <v>高倩</v>
      </c>
      <c r="E4260" s="4" t="str">
        <f t="shared" si="164"/>
        <v>女</v>
      </c>
    </row>
    <row r="4261" spans="1:5" ht="30" customHeight="1">
      <c r="A4261" s="4">
        <v>4259</v>
      </c>
      <c r="B4261" s="4" t="str">
        <f>"39712022060112525479882"</f>
        <v>39712022060112525479882</v>
      </c>
      <c r="C4261" s="4" t="s">
        <v>30</v>
      </c>
      <c r="D4261" s="4" t="str">
        <f>"陈丽芳"</f>
        <v>陈丽芳</v>
      </c>
      <c r="E4261" s="4" t="str">
        <f t="shared" si="164"/>
        <v>女</v>
      </c>
    </row>
    <row r="4262" spans="1:5" ht="30" customHeight="1">
      <c r="A4262" s="4">
        <v>4260</v>
      </c>
      <c r="B4262" s="4" t="str">
        <f>"39712022060113095279962"</f>
        <v>39712022060113095279962</v>
      </c>
      <c r="C4262" s="4" t="s">
        <v>30</v>
      </c>
      <c r="D4262" s="4" t="str">
        <f>"郑雪"</f>
        <v>郑雪</v>
      </c>
      <c r="E4262" s="4" t="str">
        <f t="shared" si="164"/>
        <v>女</v>
      </c>
    </row>
    <row r="4263" spans="1:5" ht="30" customHeight="1">
      <c r="A4263" s="4">
        <v>4261</v>
      </c>
      <c r="B4263" s="4" t="str">
        <f>"39712022060113095279963"</f>
        <v>39712022060113095279963</v>
      </c>
      <c r="C4263" s="4" t="s">
        <v>30</v>
      </c>
      <c r="D4263" s="4" t="str">
        <f>"杨千"</f>
        <v>杨千</v>
      </c>
      <c r="E4263" s="4" t="str">
        <f t="shared" si="164"/>
        <v>女</v>
      </c>
    </row>
    <row r="4264" spans="1:5" ht="30" customHeight="1">
      <c r="A4264" s="4">
        <v>4262</v>
      </c>
      <c r="B4264" s="4" t="str">
        <f>"39712022060114400180325"</f>
        <v>39712022060114400180325</v>
      </c>
      <c r="C4264" s="4" t="s">
        <v>30</v>
      </c>
      <c r="D4264" s="4" t="str">
        <f>"周水连"</f>
        <v>周水连</v>
      </c>
      <c r="E4264" s="4" t="str">
        <f t="shared" si="164"/>
        <v>女</v>
      </c>
    </row>
    <row r="4265" spans="1:5" ht="30" customHeight="1">
      <c r="A4265" s="4">
        <v>4263</v>
      </c>
      <c r="B4265" s="4" t="str">
        <f>"39712022060115281880605"</f>
        <v>39712022060115281880605</v>
      </c>
      <c r="C4265" s="4" t="s">
        <v>30</v>
      </c>
      <c r="D4265" s="4" t="str">
        <f>"马小瑞"</f>
        <v>马小瑞</v>
      </c>
      <c r="E4265" s="4" t="str">
        <f t="shared" si="164"/>
        <v>女</v>
      </c>
    </row>
    <row r="4266" spans="1:5" ht="30" customHeight="1">
      <c r="A4266" s="4">
        <v>4264</v>
      </c>
      <c r="B4266" s="4" t="str">
        <f>"39712022060117133181211"</f>
        <v>39712022060117133181211</v>
      </c>
      <c r="C4266" s="4" t="s">
        <v>30</v>
      </c>
      <c r="D4266" s="4" t="str">
        <f>"羊高联"</f>
        <v>羊高联</v>
      </c>
      <c r="E4266" s="4" t="str">
        <f t="shared" si="164"/>
        <v>女</v>
      </c>
    </row>
    <row r="4267" spans="1:5" ht="30" customHeight="1">
      <c r="A4267" s="4">
        <v>4265</v>
      </c>
      <c r="B4267" s="4" t="str">
        <f>"39712022060117170181233"</f>
        <v>39712022060117170181233</v>
      </c>
      <c r="C4267" s="4" t="s">
        <v>30</v>
      </c>
      <c r="D4267" s="4" t="str">
        <f>"张昌麒"</f>
        <v>张昌麒</v>
      </c>
      <c r="E4267" s="4" t="str">
        <f>"男"</f>
        <v>男</v>
      </c>
    </row>
    <row r="4268" spans="1:5" ht="30" customHeight="1">
      <c r="A4268" s="4">
        <v>4266</v>
      </c>
      <c r="B4268" s="4" t="str">
        <f>"39712022060117550081430"</f>
        <v>39712022060117550081430</v>
      </c>
      <c r="C4268" s="4" t="s">
        <v>30</v>
      </c>
      <c r="D4268" s="4" t="str">
        <f>"何丽燕"</f>
        <v>何丽燕</v>
      </c>
      <c r="E4268" s="4" t="str">
        <f aca="true" t="shared" si="165" ref="E4268:E4277">"女"</f>
        <v>女</v>
      </c>
    </row>
    <row r="4269" spans="1:5" ht="30" customHeight="1">
      <c r="A4269" s="4">
        <v>4267</v>
      </c>
      <c r="B4269" s="4" t="str">
        <f>"39712022060118220881551"</f>
        <v>39712022060118220881551</v>
      </c>
      <c r="C4269" s="4" t="s">
        <v>30</v>
      </c>
      <c r="D4269" s="4" t="str">
        <f>"魏帆帆"</f>
        <v>魏帆帆</v>
      </c>
      <c r="E4269" s="4" t="str">
        <f t="shared" si="165"/>
        <v>女</v>
      </c>
    </row>
    <row r="4270" spans="1:5" ht="30" customHeight="1">
      <c r="A4270" s="4">
        <v>4268</v>
      </c>
      <c r="B4270" s="4" t="str">
        <f>"39712022060119473581895"</f>
        <v>39712022060119473581895</v>
      </c>
      <c r="C4270" s="4" t="s">
        <v>30</v>
      </c>
      <c r="D4270" s="4" t="str">
        <f>"林敏"</f>
        <v>林敏</v>
      </c>
      <c r="E4270" s="4" t="str">
        <f t="shared" si="165"/>
        <v>女</v>
      </c>
    </row>
    <row r="4271" spans="1:5" ht="30" customHeight="1">
      <c r="A4271" s="4">
        <v>4269</v>
      </c>
      <c r="B4271" s="4" t="str">
        <f>"39712022060119555181935"</f>
        <v>39712022060119555181935</v>
      </c>
      <c r="C4271" s="4" t="s">
        <v>30</v>
      </c>
      <c r="D4271" s="4" t="str">
        <f>"黄镜泽"</f>
        <v>黄镜泽</v>
      </c>
      <c r="E4271" s="4" t="str">
        <f t="shared" si="165"/>
        <v>女</v>
      </c>
    </row>
    <row r="4272" spans="1:5" ht="30" customHeight="1">
      <c r="A4272" s="4">
        <v>4270</v>
      </c>
      <c r="B4272" s="4" t="str">
        <f>"39712022060119591781947"</f>
        <v>39712022060119591781947</v>
      </c>
      <c r="C4272" s="4" t="s">
        <v>30</v>
      </c>
      <c r="D4272" s="4" t="str">
        <f>"王茜"</f>
        <v>王茜</v>
      </c>
      <c r="E4272" s="4" t="str">
        <f t="shared" si="165"/>
        <v>女</v>
      </c>
    </row>
    <row r="4273" spans="1:5" ht="30" customHeight="1">
      <c r="A4273" s="4">
        <v>4271</v>
      </c>
      <c r="B4273" s="4" t="str">
        <f>"39712022060120271982068"</f>
        <v>39712022060120271982068</v>
      </c>
      <c r="C4273" s="4" t="s">
        <v>30</v>
      </c>
      <c r="D4273" s="4" t="str">
        <f>"米嘉琪"</f>
        <v>米嘉琪</v>
      </c>
      <c r="E4273" s="4" t="str">
        <f t="shared" si="165"/>
        <v>女</v>
      </c>
    </row>
    <row r="4274" spans="1:5" ht="30" customHeight="1">
      <c r="A4274" s="4">
        <v>4272</v>
      </c>
      <c r="B4274" s="4" t="str">
        <f>"39712022060120303982090"</f>
        <v>39712022060120303982090</v>
      </c>
      <c r="C4274" s="4" t="s">
        <v>30</v>
      </c>
      <c r="D4274" s="4" t="str">
        <f>"王梅娣"</f>
        <v>王梅娣</v>
      </c>
      <c r="E4274" s="4" t="str">
        <f t="shared" si="165"/>
        <v>女</v>
      </c>
    </row>
    <row r="4275" spans="1:5" ht="30" customHeight="1">
      <c r="A4275" s="4">
        <v>4273</v>
      </c>
      <c r="B4275" s="4" t="str">
        <f>"39712022060122203382672"</f>
        <v>39712022060122203382672</v>
      </c>
      <c r="C4275" s="4" t="s">
        <v>30</v>
      </c>
      <c r="D4275" s="4" t="str">
        <f>"冼秋媛"</f>
        <v>冼秋媛</v>
      </c>
      <c r="E4275" s="4" t="str">
        <f t="shared" si="165"/>
        <v>女</v>
      </c>
    </row>
    <row r="4276" spans="1:5" ht="30" customHeight="1">
      <c r="A4276" s="4">
        <v>4274</v>
      </c>
      <c r="B4276" s="4" t="str">
        <f>"39712022060201104583120"</f>
        <v>39712022060201104583120</v>
      </c>
      <c r="C4276" s="4" t="s">
        <v>30</v>
      </c>
      <c r="D4276" s="4" t="str">
        <f>"陈秋颖"</f>
        <v>陈秋颖</v>
      </c>
      <c r="E4276" s="4" t="str">
        <f t="shared" si="165"/>
        <v>女</v>
      </c>
    </row>
    <row r="4277" spans="1:5" ht="30" customHeight="1">
      <c r="A4277" s="4">
        <v>4275</v>
      </c>
      <c r="B4277" s="4" t="str">
        <f>"39712022060202152483135"</f>
        <v>39712022060202152483135</v>
      </c>
      <c r="C4277" s="4" t="s">
        <v>30</v>
      </c>
      <c r="D4277" s="4" t="str">
        <f>"符筱霞"</f>
        <v>符筱霞</v>
      </c>
      <c r="E4277" s="4" t="str">
        <f t="shared" si="165"/>
        <v>女</v>
      </c>
    </row>
    <row r="4278" spans="1:5" ht="30" customHeight="1">
      <c r="A4278" s="4">
        <v>4276</v>
      </c>
      <c r="B4278" s="4" t="str">
        <f>"39712022060208303683324"</f>
        <v>39712022060208303683324</v>
      </c>
      <c r="C4278" s="4" t="s">
        <v>30</v>
      </c>
      <c r="D4278" s="4" t="str">
        <f>"曾锋"</f>
        <v>曾锋</v>
      </c>
      <c r="E4278" s="4" t="str">
        <f>"男"</f>
        <v>男</v>
      </c>
    </row>
    <row r="4279" spans="1:5" ht="30" customHeight="1">
      <c r="A4279" s="4">
        <v>4277</v>
      </c>
      <c r="B4279" s="4" t="str">
        <f>"39712022060208331383347"</f>
        <v>39712022060208331383347</v>
      </c>
      <c r="C4279" s="4" t="s">
        <v>30</v>
      </c>
      <c r="D4279" s="4" t="str">
        <f>"史卜吉"</f>
        <v>史卜吉</v>
      </c>
      <c r="E4279" s="4" t="str">
        <f aca="true" t="shared" si="166" ref="E4279:E4295">"女"</f>
        <v>女</v>
      </c>
    </row>
    <row r="4280" spans="1:5" ht="30" customHeight="1">
      <c r="A4280" s="4">
        <v>4278</v>
      </c>
      <c r="B4280" s="4" t="str">
        <f>"39712022060209395583796"</f>
        <v>39712022060209395583796</v>
      </c>
      <c r="C4280" s="4" t="s">
        <v>30</v>
      </c>
      <c r="D4280" s="4" t="str">
        <f>"邓美君"</f>
        <v>邓美君</v>
      </c>
      <c r="E4280" s="4" t="str">
        <f t="shared" si="166"/>
        <v>女</v>
      </c>
    </row>
    <row r="4281" spans="1:5" ht="30" customHeight="1">
      <c r="A4281" s="4">
        <v>4279</v>
      </c>
      <c r="B4281" s="4" t="str">
        <f>"39712022060209445983843"</f>
        <v>39712022060209445983843</v>
      </c>
      <c r="C4281" s="4" t="s">
        <v>30</v>
      </c>
      <c r="D4281" s="4" t="str">
        <f>"杨蕙溶"</f>
        <v>杨蕙溶</v>
      </c>
      <c r="E4281" s="4" t="str">
        <f t="shared" si="166"/>
        <v>女</v>
      </c>
    </row>
    <row r="4282" spans="1:5" ht="30" customHeight="1">
      <c r="A4282" s="4">
        <v>4280</v>
      </c>
      <c r="B4282" s="4" t="str">
        <f>"39712022060209514383887"</f>
        <v>39712022060209514383887</v>
      </c>
      <c r="C4282" s="4" t="s">
        <v>30</v>
      </c>
      <c r="D4282" s="4" t="str">
        <f>"王艳秋"</f>
        <v>王艳秋</v>
      </c>
      <c r="E4282" s="4" t="str">
        <f t="shared" si="166"/>
        <v>女</v>
      </c>
    </row>
    <row r="4283" spans="1:5" ht="30" customHeight="1">
      <c r="A4283" s="4">
        <v>4281</v>
      </c>
      <c r="B4283" s="4" t="str">
        <f>"39712022060210052883987"</f>
        <v>39712022060210052883987</v>
      </c>
      <c r="C4283" s="4" t="s">
        <v>30</v>
      </c>
      <c r="D4283" s="4" t="str">
        <f>"梁美燕"</f>
        <v>梁美燕</v>
      </c>
      <c r="E4283" s="4" t="str">
        <f t="shared" si="166"/>
        <v>女</v>
      </c>
    </row>
    <row r="4284" spans="1:5" ht="30" customHeight="1">
      <c r="A4284" s="4">
        <v>4282</v>
      </c>
      <c r="B4284" s="4" t="str">
        <f>"39712022060210365984232"</f>
        <v>39712022060210365984232</v>
      </c>
      <c r="C4284" s="4" t="s">
        <v>30</v>
      </c>
      <c r="D4284" s="4" t="str">
        <f>"张俊颖"</f>
        <v>张俊颖</v>
      </c>
      <c r="E4284" s="4" t="str">
        <f t="shared" si="166"/>
        <v>女</v>
      </c>
    </row>
    <row r="4285" spans="1:5" ht="30" customHeight="1">
      <c r="A4285" s="4">
        <v>4283</v>
      </c>
      <c r="B4285" s="4" t="str">
        <f>"39712022060210521984347"</f>
        <v>39712022060210521984347</v>
      </c>
      <c r="C4285" s="4" t="s">
        <v>30</v>
      </c>
      <c r="D4285" s="4" t="str">
        <f>"张晓静"</f>
        <v>张晓静</v>
      </c>
      <c r="E4285" s="4" t="str">
        <f t="shared" si="166"/>
        <v>女</v>
      </c>
    </row>
    <row r="4286" spans="1:5" ht="30" customHeight="1">
      <c r="A4286" s="4">
        <v>4284</v>
      </c>
      <c r="B4286" s="4" t="str">
        <f>"39712022060210564584379"</f>
        <v>39712022060210564584379</v>
      </c>
      <c r="C4286" s="4" t="s">
        <v>30</v>
      </c>
      <c r="D4286" s="4" t="str">
        <f>"冯玉琴"</f>
        <v>冯玉琴</v>
      </c>
      <c r="E4286" s="4" t="str">
        <f t="shared" si="166"/>
        <v>女</v>
      </c>
    </row>
    <row r="4287" spans="1:5" ht="30" customHeight="1">
      <c r="A4287" s="4">
        <v>4285</v>
      </c>
      <c r="B4287" s="4" t="str">
        <f>"39712022060212520085071"</f>
        <v>39712022060212520085071</v>
      </c>
      <c r="C4287" s="4" t="s">
        <v>30</v>
      </c>
      <c r="D4287" s="4" t="str">
        <f>"吴丽婷"</f>
        <v>吴丽婷</v>
      </c>
      <c r="E4287" s="4" t="str">
        <f t="shared" si="166"/>
        <v>女</v>
      </c>
    </row>
    <row r="4288" spans="1:5" ht="30" customHeight="1">
      <c r="A4288" s="4">
        <v>4286</v>
      </c>
      <c r="B4288" s="4" t="str">
        <f>"39712022060213211385212"</f>
        <v>39712022060213211385212</v>
      </c>
      <c r="C4288" s="4" t="s">
        <v>30</v>
      </c>
      <c r="D4288" s="4" t="str">
        <f>"邢益珠"</f>
        <v>邢益珠</v>
      </c>
      <c r="E4288" s="4" t="str">
        <f t="shared" si="166"/>
        <v>女</v>
      </c>
    </row>
    <row r="4289" spans="1:5" ht="30" customHeight="1">
      <c r="A4289" s="4">
        <v>4287</v>
      </c>
      <c r="B4289" s="4" t="str">
        <f>"39712022060213392685300"</f>
        <v>39712022060213392685300</v>
      </c>
      <c r="C4289" s="4" t="s">
        <v>30</v>
      </c>
      <c r="D4289" s="4" t="str">
        <f>"彭亚星"</f>
        <v>彭亚星</v>
      </c>
      <c r="E4289" s="4" t="str">
        <f t="shared" si="166"/>
        <v>女</v>
      </c>
    </row>
    <row r="4290" spans="1:5" ht="30" customHeight="1">
      <c r="A4290" s="4">
        <v>4288</v>
      </c>
      <c r="B4290" s="4" t="str">
        <f>"39712022060213393285301"</f>
        <v>39712022060213393285301</v>
      </c>
      <c r="C4290" s="4" t="s">
        <v>30</v>
      </c>
      <c r="D4290" s="4" t="str">
        <f>"黄海颜"</f>
        <v>黄海颜</v>
      </c>
      <c r="E4290" s="4" t="str">
        <f t="shared" si="166"/>
        <v>女</v>
      </c>
    </row>
    <row r="4291" spans="1:5" ht="30" customHeight="1">
      <c r="A4291" s="4">
        <v>4289</v>
      </c>
      <c r="B4291" s="4" t="str">
        <f>"39712022060216303886186"</f>
        <v>39712022060216303886186</v>
      </c>
      <c r="C4291" s="4" t="s">
        <v>30</v>
      </c>
      <c r="D4291" s="4" t="str">
        <f>"王鑫"</f>
        <v>王鑫</v>
      </c>
      <c r="E4291" s="4" t="str">
        <f t="shared" si="166"/>
        <v>女</v>
      </c>
    </row>
    <row r="4292" spans="1:5" ht="30" customHeight="1">
      <c r="A4292" s="4">
        <v>4290</v>
      </c>
      <c r="B4292" s="4" t="str">
        <f>"39712022060217201386409"</f>
        <v>39712022060217201386409</v>
      </c>
      <c r="C4292" s="4" t="s">
        <v>30</v>
      </c>
      <c r="D4292" s="4" t="str">
        <f>"谢成玲"</f>
        <v>谢成玲</v>
      </c>
      <c r="E4292" s="4" t="str">
        <f t="shared" si="166"/>
        <v>女</v>
      </c>
    </row>
    <row r="4293" spans="1:5" ht="30" customHeight="1">
      <c r="A4293" s="4">
        <v>4291</v>
      </c>
      <c r="B4293" s="4" t="str">
        <f>"39712022060218015586585"</f>
        <v>39712022060218015586585</v>
      </c>
      <c r="C4293" s="4" t="s">
        <v>30</v>
      </c>
      <c r="D4293" s="4" t="str">
        <f>"梁秀英"</f>
        <v>梁秀英</v>
      </c>
      <c r="E4293" s="4" t="str">
        <f t="shared" si="166"/>
        <v>女</v>
      </c>
    </row>
    <row r="4294" spans="1:5" ht="30" customHeight="1">
      <c r="A4294" s="4">
        <v>4292</v>
      </c>
      <c r="B4294" s="4" t="str">
        <f>"39712022060218085186616"</f>
        <v>39712022060218085186616</v>
      </c>
      <c r="C4294" s="4" t="s">
        <v>30</v>
      </c>
      <c r="D4294" s="4" t="str">
        <f>"邱明明"</f>
        <v>邱明明</v>
      </c>
      <c r="E4294" s="4" t="str">
        <f t="shared" si="166"/>
        <v>女</v>
      </c>
    </row>
    <row r="4295" spans="1:5" ht="30" customHeight="1">
      <c r="A4295" s="4">
        <v>4293</v>
      </c>
      <c r="B4295" s="4" t="str">
        <f>"39712022060221084287130"</f>
        <v>39712022060221084287130</v>
      </c>
      <c r="C4295" s="4" t="s">
        <v>30</v>
      </c>
      <c r="D4295" s="4" t="str">
        <f>"唐芳芳"</f>
        <v>唐芳芳</v>
      </c>
      <c r="E4295" s="4" t="str">
        <f t="shared" si="166"/>
        <v>女</v>
      </c>
    </row>
    <row r="4296" spans="1:5" ht="30" customHeight="1">
      <c r="A4296" s="4">
        <v>4294</v>
      </c>
      <c r="B4296" s="4" t="str">
        <f>"39712022060221553387281"</f>
        <v>39712022060221553387281</v>
      </c>
      <c r="C4296" s="4" t="s">
        <v>30</v>
      </c>
      <c r="D4296" s="4" t="str">
        <f>"陈佩"</f>
        <v>陈佩</v>
      </c>
      <c r="E4296" s="4" t="str">
        <f>"男"</f>
        <v>男</v>
      </c>
    </row>
    <row r="4297" spans="1:5" ht="30" customHeight="1">
      <c r="A4297" s="4">
        <v>4295</v>
      </c>
      <c r="B4297" s="4" t="str">
        <f>"39712022060222184387360"</f>
        <v>39712022060222184387360</v>
      </c>
      <c r="C4297" s="4" t="s">
        <v>30</v>
      </c>
      <c r="D4297" s="4" t="str">
        <f>"刘春彬"</f>
        <v>刘春彬</v>
      </c>
      <c r="E4297" s="4" t="str">
        <f aca="true" t="shared" si="167" ref="E4297:E4306">"女"</f>
        <v>女</v>
      </c>
    </row>
    <row r="4298" spans="1:5" ht="30" customHeight="1">
      <c r="A4298" s="4">
        <v>4296</v>
      </c>
      <c r="B4298" s="4" t="str">
        <f>"39712022060311320787852"</f>
        <v>39712022060311320787852</v>
      </c>
      <c r="C4298" s="4" t="s">
        <v>30</v>
      </c>
      <c r="D4298" s="4" t="str">
        <f>"李姑"</f>
        <v>李姑</v>
      </c>
      <c r="E4298" s="4" t="str">
        <f t="shared" si="167"/>
        <v>女</v>
      </c>
    </row>
    <row r="4299" spans="1:5" ht="30" customHeight="1">
      <c r="A4299" s="4">
        <v>4297</v>
      </c>
      <c r="B4299" s="4" t="str">
        <f>"39712022060320044988323"</f>
        <v>39712022060320044988323</v>
      </c>
      <c r="C4299" s="4" t="s">
        <v>30</v>
      </c>
      <c r="D4299" s="4" t="str">
        <f>"万火玉"</f>
        <v>万火玉</v>
      </c>
      <c r="E4299" s="4" t="str">
        <f t="shared" si="167"/>
        <v>女</v>
      </c>
    </row>
    <row r="4300" spans="1:5" ht="30" customHeight="1">
      <c r="A4300" s="4">
        <v>4298</v>
      </c>
      <c r="B4300" s="4" t="str">
        <f>"39712022060320144488333"</f>
        <v>39712022060320144488333</v>
      </c>
      <c r="C4300" s="4" t="s">
        <v>30</v>
      </c>
      <c r="D4300" s="4" t="str">
        <f>"于明彩"</f>
        <v>于明彩</v>
      </c>
      <c r="E4300" s="4" t="str">
        <f t="shared" si="167"/>
        <v>女</v>
      </c>
    </row>
    <row r="4301" spans="1:5" ht="30" customHeight="1">
      <c r="A4301" s="4">
        <v>4299</v>
      </c>
      <c r="B4301" s="4" t="str">
        <f>"39712022060321163988393"</f>
        <v>39712022060321163988393</v>
      </c>
      <c r="C4301" s="4" t="s">
        <v>30</v>
      </c>
      <c r="D4301" s="4" t="str">
        <f>"卢青青"</f>
        <v>卢青青</v>
      </c>
      <c r="E4301" s="4" t="str">
        <f t="shared" si="167"/>
        <v>女</v>
      </c>
    </row>
    <row r="4302" spans="1:5" ht="30" customHeight="1">
      <c r="A4302" s="4">
        <v>4300</v>
      </c>
      <c r="B4302" s="4" t="str">
        <f>"39712022060323440388538"</f>
        <v>39712022060323440388538</v>
      </c>
      <c r="C4302" s="4" t="s">
        <v>30</v>
      </c>
      <c r="D4302" s="4" t="str">
        <f>"周志银"</f>
        <v>周志银</v>
      </c>
      <c r="E4302" s="4" t="str">
        <f t="shared" si="167"/>
        <v>女</v>
      </c>
    </row>
    <row r="4303" spans="1:5" ht="30" customHeight="1">
      <c r="A4303" s="4">
        <v>4301</v>
      </c>
      <c r="B4303" s="4" t="str">
        <f>"39712022060410335488725"</f>
        <v>39712022060410335488725</v>
      </c>
      <c r="C4303" s="4" t="s">
        <v>30</v>
      </c>
      <c r="D4303" s="4" t="str">
        <f>"张继香"</f>
        <v>张继香</v>
      </c>
      <c r="E4303" s="4" t="str">
        <f t="shared" si="167"/>
        <v>女</v>
      </c>
    </row>
    <row r="4304" spans="1:5" ht="30" customHeight="1">
      <c r="A4304" s="4">
        <v>4302</v>
      </c>
      <c r="B4304" s="4" t="str">
        <f>"39712022060412163988848"</f>
        <v>39712022060412163988848</v>
      </c>
      <c r="C4304" s="4" t="s">
        <v>30</v>
      </c>
      <c r="D4304" s="4" t="str">
        <f>"张玉珠"</f>
        <v>张玉珠</v>
      </c>
      <c r="E4304" s="4" t="str">
        <f t="shared" si="167"/>
        <v>女</v>
      </c>
    </row>
    <row r="4305" spans="1:5" ht="30" customHeight="1">
      <c r="A4305" s="4">
        <v>4303</v>
      </c>
      <c r="B4305" s="4" t="str">
        <f>"39712022060413044888895"</f>
        <v>39712022060413044888895</v>
      </c>
      <c r="C4305" s="4" t="s">
        <v>30</v>
      </c>
      <c r="D4305" s="4" t="str">
        <f>"何民丹"</f>
        <v>何民丹</v>
      </c>
      <c r="E4305" s="4" t="str">
        <f t="shared" si="167"/>
        <v>女</v>
      </c>
    </row>
    <row r="4306" spans="1:5" ht="30" customHeight="1">
      <c r="A4306" s="4">
        <v>4304</v>
      </c>
      <c r="B4306" s="4" t="str">
        <f>"39712022060414404588978"</f>
        <v>39712022060414404588978</v>
      </c>
      <c r="C4306" s="4" t="s">
        <v>30</v>
      </c>
      <c r="D4306" s="4" t="str">
        <f>"訚琦琦"</f>
        <v>訚琦琦</v>
      </c>
      <c r="E4306" s="4" t="str">
        <f t="shared" si="167"/>
        <v>女</v>
      </c>
    </row>
    <row r="4307" spans="1:5" ht="30" customHeight="1">
      <c r="A4307" s="4">
        <v>4305</v>
      </c>
      <c r="B4307" s="4" t="str">
        <f>"39712022060416493889114"</f>
        <v>39712022060416493889114</v>
      </c>
      <c r="C4307" s="4" t="s">
        <v>30</v>
      </c>
      <c r="D4307" s="4" t="str">
        <f>"赵俊书"</f>
        <v>赵俊书</v>
      </c>
      <c r="E4307" s="4" t="str">
        <f>"男"</f>
        <v>男</v>
      </c>
    </row>
    <row r="4308" spans="1:5" ht="30" customHeight="1">
      <c r="A4308" s="4">
        <v>4306</v>
      </c>
      <c r="B4308" s="4" t="str">
        <f>"39712022060416545389119"</f>
        <v>39712022060416545389119</v>
      </c>
      <c r="C4308" s="4" t="s">
        <v>30</v>
      </c>
      <c r="D4308" s="4" t="str">
        <f>"林月圆"</f>
        <v>林月圆</v>
      </c>
      <c r="E4308" s="4" t="str">
        <f>"女"</f>
        <v>女</v>
      </c>
    </row>
    <row r="4309" spans="1:5" ht="30" customHeight="1">
      <c r="A4309" s="4">
        <v>4307</v>
      </c>
      <c r="B4309" s="4" t="str">
        <f>"39712022060417264989156"</f>
        <v>39712022060417264989156</v>
      </c>
      <c r="C4309" s="4" t="s">
        <v>30</v>
      </c>
      <c r="D4309" s="4" t="str">
        <f>"郭美慧"</f>
        <v>郭美慧</v>
      </c>
      <c r="E4309" s="4" t="str">
        <f>"女"</f>
        <v>女</v>
      </c>
    </row>
    <row r="4310" spans="1:5" ht="30" customHeight="1">
      <c r="A4310" s="4">
        <v>4308</v>
      </c>
      <c r="B4310" s="4" t="str">
        <f>"39712022060417324689160"</f>
        <v>39712022060417324689160</v>
      </c>
      <c r="C4310" s="4" t="s">
        <v>30</v>
      </c>
      <c r="D4310" s="4" t="str">
        <f>"阮琼霞"</f>
        <v>阮琼霞</v>
      </c>
      <c r="E4310" s="4" t="str">
        <f>"女"</f>
        <v>女</v>
      </c>
    </row>
    <row r="4311" spans="1:5" ht="30" customHeight="1">
      <c r="A4311" s="4">
        <v>4309</v>
      </c>
      <c r="B4311" s="4" t="str">
        <f>"39712022060418304089212"</f>
        <v>39712022060418304089212</v>
      </c>
      <c r="C4311" s="4" t="s">
        <v>30</v>
      </c>
      <c r="D4311" s="4" t="str">
        <f>"王录武"</f>
        <v>王录武</v>
      </c>
      <c r="E4311" s="4" t="str">
        <f>"男"</f>
        <v>男</v>
      </c>
    </row>
    <row r="4312" spans="1:5" ht="30" customHeight="1">
      <c r="A4312" s="4">
        <v>4310</v>
      </c>
      <c r="B4312" s="4" t="str">
        <f>"39712022060421011289363"</f>
        <v>39712022060421011289363</v>
      </c>
      <c r="C4312" s="4" t="s">
        <v>30</v>
      </c>
      <c r="D4312" s="4" t="str">
        <f>"廖婧妮"</f>
        <v>廖婧妮</v>
      </c>
      <c r="E4312" s="4" t="str">
        <f>"女"</f>
        <v>女</v>
      </c>
    </row>
    <row r="4313" spans="1:5" ht="30" customHeight="1">
      <c r="A4313" s="4">
        <v>4311</v>
      </c>
      <c r="B4313" s="4" t="str">
        <f>"39712022060510232789776"</f>
        <v>39712022060510232789776</v>
      </c>
      <c r="C4313" s="4" t="s">
        <v>30</v>
      </c>
      <c r="D4313" s="4" t="str">
        <f>"翁建虹"</f>
        <v>翁建虹</v>
      </c>
      <c r="E4313" s="4" t="str">
        <f>"女"</f>
        <v>女</v>
      </c>
    </row>
    <row r="4314" spans="1:5" ht="30" customHeight="1">
      <c r="A4314" s="4">
        <v>4312</v>
      </c>
      <c r="B4314" s="4" t="str">
        <f>"39712022060514374290138"</f>
        <v>39712022060514374290138</v>
      </c>
      <c r="C4314" s="4" t="s">
        <v>30</v>
      </c>
      <c r="D4314" s="4" t="str">
        <f>"林苏夏"</f>
        <v>林苏夏</v>
      </c>
      <c r="E4314" s="4" t="str">
        <f>"女"</f>
        <v>女</v>
      </c>
    </row>
    <row r="4315" spans="1:5" ht="30" customHeight="1">
      <c r="A4315" s="4">
        <v>4313</v>
      </c>
      <c r="B4315" s="4" t="str">
        <f>"39712022060519100490501"</f>
        <v>39712022060519100490501</v>
      </c>
      <c r="C4315" s="4" t="s">
        <v>30</v>
      </c>
      <c r="D4315" s="4" t="str">
        <f>"黄忠贵"</f>
        <v>黄忠贵</v>
      </c>
      <c r="E4315" s="4" t="str">
        <f>"男"</f>
        <v>男</v>
      </c>
    </row>
    <row r="4316" spans="1:5" ht="30" customHeight="1">
      <c r="A4316" s="4">
        <v>4314</v>
      </c>
      <c r="B4316" s="4" t="str">
        <f>"39712022060522341790872"</f>
        <v>39712022060522341790872</v>
      </c>
      <c r="C4316" s="4" t="s">
        <v>30</v>
      </c>
      <c r="D4316" s="4" t="str">
        <f>"曾小丽"</f>
        <v>曾小丽</v>
      </c>
      <c r="E4316" s="4" t="str">
        <f>"女"</f>
        <v>女</v>
      </c>
    </row>
    <row r="4317" spans="1:5" ht="30" customHeight="1">
      <c r="A4317" s="4">
        <v>4315</v>
      </c>
      <c r="B4317" s="4" t="str">
        <f>"39712022060609155791910"</f>
        <v>39712022060609155791910</v>
      </c>
      <c r="C4317" s="4" t="s">
        <v>30</v>
      </c>
      <c r="D4317" s="4" t="str">
        <f>"符淑宜"</f>
        <v>符淑宜</v>
      </c>
      <c r="E4317" s="4" t="str">
        <f>"女"</f>
        <v>女</v>
      </c>
    </row>
    <row r="4318" spans="1:5" ht="30" customHeight="1">
      <c r="A4318" s="4">
        <v>4316</v>
      </c>
      <c r="B4318" s="4" t="str">
        <f>"39712022060609340892475"</f>
        <v>39712022060609340892475</v>
      </c>
      <c r="C4318" s="4" t="s">
        <v>30</v>
      </c>
      <c r="D4318" s="4" t="str">
        <f>"王冬灵"</f>
        <v>王冬灵</v>
      </c>
      <c r="E4318" s="4" t="str">
        <f>"女"</f>
        <v>女</v>
      </c>
    </row>
    <row r="4319" spans="1:5" ht="30" customHeight="1">
      <c r="A4319" s="4">
        <v>4317</v>
      </c>
      <c r="B4319" s="4" t="str">
        <f>"39712022060610303293936"</f>
        <v>39712022060610303293936</v>
      </c>
      <c r="C4319" s="4" t="s">
        <v>30</v>
      </c>
      <c r="D4319" s="4" t="str">
        <f>"文丽曼"</f>
        <v>文丽曼</v>
      </c>
      <c r="E4319" s="4" t="str">
        <f>"女"</f>
        <v>女</v>
      </c>
    </row>
    <row r="4320" spans="1:5" ht="30" customHeight="1">
      <c r="A4320" s="4">
        <v>4318</v>
      </c>
      <c r="B4320" s="4" t="str">
        <f>"39712022060612185095873"</f>
        <v>39712022060612185095873</v>
      </c>
      <c r="C4320" s="4" t="s">
        <v>30</v>
      </c>
      <c r="D4320" s="4" t="str">
        <f>"张茜萱"</f>
        <v>张茜萱</v>
      </c>
      <c r="E4320" s="4" t="str">
        <f aca="true" t="shared" si="168" ref="E4320:E4325">"女"</f>
        <v>女</v>
      </c>
    </row>
    <row r="4321" spans="1:5" ht="30" customHeight="1">
      <c r="A4321" s="4">
        <v>4319</v>
      </c>
      <c r="B4321" s="4" t="str">
        <f>"39712022060615031397540"</f>
        <v>39712022060615031397540</v>
      </c>
      <c r="C4321" s="4" t="s">
        <v>30</v>
      </c>
      <c r="D4321" s="4" t="str">
        <f>"周莹莹"</f>
        <v>周莹莹</v>
      </c>
      <c r="E4321" s="4" t="str">
        <f t="shared" si="168"/>
        <v>女</v>
      </c>
    </row>
    <row r="4322" spans="1:5" ht="30" customHeight="1">
      <c r="A4322" s="4">
        <v>4320</v>
      </c>
      <c r="B4322" s="4" t="str">
        <f>"39712022060617115799226"</f>
        <v>39712022060617115799226</v>
      </c>
      <c r="C4322" s="4" t="s">
        <v>30</v>
      </c>
      <c r="D4322" s="4" t="str">
        <f>"赵利琴"</f>
        <v>赵利琴</v>
      </c>
      <c r="E4322" s="4" t="str">
        <f t="shared" si="168"/>
        <v>女</v>
      </c>
    </row>
    <row r="4323" spans="1:5" ht="30" customHeight="1">
      <c r="A4323" s="4">
        <v>4321</v>
      </c>
      <c r="B4323" s="4" t="str">
        <f>"39712022060618041499707"</f>
        <v>39712022060618041499707</v>
      </c>
      <c r="C4323" s="4" t="s">
        <v>30</v>
      </c>
      <c r="D4323" s="4" t="str">
        <f>"陈海莲"</f>
        <v>陈海莲</v>
      </c>
      <c r="E4323" s="4" t="str">
        <f t="shared" si="168"/>
        <v>女</v>
      </c>
    </row>
    <row r="4324" spans="1:5" ht="30" customHeight="1">
      <c r="A4324" s="4">
        <v>4322</v>
      </c>
      <c r="B4324" s="4" t="str">
        <f>"39712022060618110799764"</f>
        <v>39712022060618110799764</v>
      </c>
      <c r="C4324" s="4" t="s">
        <v>30</v>
      </c>
      <c r="D4324" s="4" t="str">
        <f>"袁美焕"</f>
        <v>袁美焕</v>
      </c>
      <c r="E4324" s="4" t="str">
        <f t="shared" si="168"/>
        <v>女</v>
      </c>
    </row>
    <row r="4325" spans="1:5" ht="30" customHeight="1">
      <c r="A4325" s="4">
        <v>4323</v>
      </c>
      <c r="B4325" s="4" t="str">
        <f>"39712022060618225799870"</f>
        <v>39712022060618225799870</v>
      </c>
      <c r="C4325" s="4" t="s">
        <v>30</v>
      </c>
      <c r="D4325" s="4" t="str">
        <f>"陈秋玲"</f>
        <v>陈秋玲</v>
      </c>
      <c r="E4325" s="4" t="str">
        <f t="shared" si="168"/>
        <v>女</v>
      </c>
    </row>
    <row r="4326" spans="1:5" ht="30" customHeight="1">
      <c r="A4326" s="4">
        <v>4324</v>
      </c>
      <c r="B4326" s="4" t="str">
        <f>"39712022060618291099918"</f>
        <v>39712022060618291099918</v>
      </c>
      <c r="C4326" s="4" t="s">
        <v>30</v>
      </c>
      <c r="D4326" s="4" t="str">
        <f>"王明海"</f>
        <v>王明海</v>
      </c>
      <c r="E4326" s="4" t="str">
        <f>"男"</f>
        <v>男</v>
      </c>
    </row>
    <row r="4327" spans="1:5" ht="30" customHeight="1">
      <c r="A4327" s="4">
        <v>4325</v>
      </c>
      <c r="B4327" s="4" t="str">
        <f>"397120220606185046100089"</f>
        <v>397120220606185046100089</v>
      </c>
      <c r="C4327" s="4" t="s">
        <v>30</v>
      </c>
      <c r="D4327" s="4" t="str">
        <f>"陈韵歆"</f>
        <v>陈韵歆</v>
      </c>
      <c r="E4327" s="4" t="str">
        <f aca="true" t="shared" si="169" ref="E4327:E4337">"女"</f>
        <v>女</v>
      </c>
    </row>
    <row r="4328" spans="1:5" ht="30" customHeight="1">
      <c r="A4328" s="4">
        <v>4326</v>
      </c>
      <c r="B4328" s="4" t="str">
        <f>"397120220606203438100935"</f>
        <v>397120220606203438100935</v>
      </c>
      <c r="C4328" s="4" t="s">
        <v>30</v>
      </c>
      <c r="D4328" s="4" t="str">
        <f>"容宁"</f>
        <v>容宁</v>
      </c>
      <c r="E4328" s="4" t="str">
        <f t="shared" si="169"/>
        <v>女</v>
      </c>
    </row>
    <row r="4329" spans="1:5" ht="30" customHeight="1">
      <c r="A4329" s="4">
        <v>4327</v>
      </c>
      <c r="B4329" s="4" t="str">
        <f>"397120220606220005101663"</f>
        <v>397120220606220005101663</v>
      </c>
      <c r="C4329" s="4" t="s">
        <v>30</v>
      </c>
      <c r="D4329" s="4" t="str">
        <f>"黄端芬"</f>
        <v>黄端芬</v>
      </c>
      <c r="E4329" s="4" t="str">
        <f t="shared" si="169"/>
        <v>女</v>
      </c>
    </row>
    <row r="4330" spans="1:5" ht="30" customHeight="1">
      <c r="A4330" s="4">
        <v>4328</v>
      </c>
      <c r="B4330" s="4" t="str">
        <f>"397120220606225012102100"</f>
        <v>397120220606225012102100</v>
      </c>
      <c r="C4330" s="4" t="s">
        <v>30</v>
      </c>
      <c r="D4330" s="4" t="str">
        <f>"王雪桦"</f>
        <v>王雪桦</v>
      </c>
      <c r="E4330" s="4" t="str">
        <f t="shared" si="169"/>
        <v>女</v>
      </c>
    </row>
    <row r="4331" spans="1:5" ht="30" customHeight="1">
      <c r="A4331" s="4">
        <v>4329</v>
      </c>
      <c r="B4331" s="4" t="str">
        <f>"397120220606230551102185"</f>
        <v>397120220606230551102185</v>
      </c>
      <c r="C4331" s="4" t="s">
        <v>30</v>
      </c>
      <c r="D4331" s="4" t="str">
        <f>"苏元丽"</f>
        <v>苏元丽</v>
      </c>
      <c r="E4331" s="4" t="str">
        <f t="shared" si="169"/>
        <v>女</v>
      </c>
    </row>
    <row r="4332" spans="1:5" ht="30" customHeight="1">
      <c r="A4332" s="4">
        <v>4330</v>
      </c>
      <c r="B4332" s="4" t="str">
        <f>"397120220607085426103109"</f>
        <v>397120220607085426103109</v>
      </c>
      <c r="C4332" s="4" t="s">
        <v>30</v>
      </c>
      <c r="D4332" s="4" t="str">
        <f>"张伟凤"</f>
        <v>张伟凤</v>
      </c>
      <c r="E4332" s="4" t="str">
        <f t="shared" si="169"/>
        <v>女</v>
      </c>
    </row>
    <row r="4333" spans="1:5" ht="30" customHeight="1">
      <c r="A4333" s="4">
        <v>4331</v>
      </c>
      <c r="B4333" s="4" t="str">
        <f>"397120220607112135105046"</f>
        <v>397120220607112135105046</v>
      </c>
      <c r="C4333" s="4" t="s">
        <v>30</v>
      </c>
      <c r="D4333" s="4" t="str">
        <f>"符子娟"</f>
        <v>符子娟</v>
      </c>
      <c r="E4333" s="4" t="str">
        <f t="shared" si="169"/>
        <v>女</v>
      </c>
    </row>
    <row r="4334" spans="1:5" ht="30" customHeight="1">
      <c r="A4334" s="4">
        <v>4332</v>
      </c>
      <c r="B4334" s="4" t="str">
        <f>"397120220607154619107245"</f>
        <v>397120220607154619107245</v>
      </c>
      <c r="C4334" s="4" t="s">
        <v>30</v>
      </c>
      <c r="D4334" s="4" t="str">
        <f>"陈西凤"</f>
        <v>陈西凤</v>
      </c>
      <c r="E4334" s="4" t="str">
        <f t="shared" si="169"/>
        <v>女</v>
      </c>
    </row>
    <row r="4335" spans="1:5" ht="30" customHeight="1">
      <c r="A4335" s="4">
        <v>4333</v>
      </c>
      <c r="B4335" s="4" t="str">
        <f>"397120220607170616108038"</f>
        <v>397120220607170616108038</v>
      </c>
      <c r="C4335" s="4" t="s">
        <v>30</v>
      </c>
      <c r="D4335" s="4" t="str">
        <f>"王靖婷"</f>
        <v>王靖婷</v>
      </c>
      <c r="E4335" s="4" t="str">
        <f t="shared" si="169"/>
        <v>女</v>
      </c>
    </row>
    <row r="4336" spans="1:5" ht="30" customHeight="1">
      <c r="A4336" s="4">
        <v>4334</v>
      </c>
      <c r="B4336" s="4" t="str">
        <f>"397120220607172659108233"</f>
        <v>397120220607172659108233</v>
      </c>
      <c r="C4336" s="4" t="s">
        <v>30</v>
      </c>
      <c r="D4336" s="4" t="str">
        <f>"符秀娜"</f>
        <v>符秀娜</v>
      </c>
      <c r="E4336" s="4" t="str">
        <f t="shared" si="169"/>
        <v>女</v>
      </c>
    </row>
    <row r="4337" spans="1:5" ht="30" customHeight="1">
      <c r="A4337" s="4">
        <v>4335</v>
      </c>
      <c r="B4337" s="4" t="str">
        <f>"397120220607194010109076"</f>
        <v>397120220607194010109076</v>
      </c>
      <c r="C4337" s="4" t="s">
        <v>30</v>
      </c>
      <c r="D4337" s="4" t="str">
        <f>"羊敏"</f>
        <v>羊敏</v>
      </c>
      <c r="E4337" s="4" t="str">
        <f t="shared" si="169"/>
        <v>女</v>
      </c>
    </row>
    <row r="4338" spans="1:5" ht="30" customHeight="1">
      <c r="A4338" s="4">
        <v>4336</v>
      </c>
      <c r="B4338" s="4" t="str">
        <f>"397120220607201739109299"</f>
        <v>397120220607201739109299</v>
      </c>
      <c r="C4338" s="4" t="s">
        <v>30</v>
      </c>
      <c r="D4338" s="4" t="str">
        <f>"林道才"</f>
        <v>林道才</v>
      </c>
      <c r="E4338" s="4" t="str">
        <f>"男"</f>
        <v>男</v>
      </c>
    </row>
    <row r="4339" spans="1:5" ht="30" customHeight="1">
      <c r="A4339" s="4">
        <v>4337</v>
      </c>
      <c r="B4339" s="4" t="str">
        <f>"397120220608085334111152"</f>
        <v>397120220608085334111152</v>
      </c>
      <c r="C4339" s="4" t="s">
        <v>30</v>
      </c>
      <c r="D4339" s="4" t="str">
        <f>"羊翠玲"</f>
        <v>羊翠玲</v>
      </c>
      <c r="E4339" s="4" t="str">
        <f>"女"</f>
        <v>女</v>
      </c>
    </row>
    <row r="4340" spans="1:5" ht="30" customHeight="1">
      <c r="A4340" s="4">
        <v>4338</v>
      </c>
      <c r="B4340" s="4" t="str">
        <f>"397120220608110650112282"</f>
        <v>397120220608110650112282</v>
      </c>
      <c r="C4340" s="4" t="s">
        <v>30</v>
      </c>
      <c r="D4340" s="4" t="str">
        <f>"吴泰彬"</f>
        <v>吴泰彬</v>
      </c>
      <c r="E4340" s="4" t="str">
        <f>"男"</f>
        <v>男</v>
      </c>
    </row>
    <row r="4341" spans="1:5" ht="30" customHeight="1">
      <c r="A4341" s="4">
        <v>4339</v>
      </c>
      <c r="B4341" s="4" t="str">
        <f>"39712022060109172878333"</f>
        <v>39712022060109172878333</v>
      </c>
      <c r="C4341" s="4" t="s">
        <v>31</v>
      </c>
      <c r="D4341" s="4" t="str">
        <f>"罗恋"</f>
        <v>罗恋</v>
      </c>
      <c r="E4341" s="4" t="str">
        <f aca="true" t="shared" si="170" ref="E4341:E4351">"女"</f>
        <v>女</v>
      </c>
    </row>
    <row r="4342" spans="1:5" ht="30" customHeight="1">
      <c r="A4342" s="4">
        <v>4340</v>
      </c>
      <c r="B4342" s="4" t="str">
        <f>"39712022060109344578492"</f>
        <v>39712022060109344578492</v>
      </c>
      <c r="C4342" s="4" t="s">
        <v>31</v>
      </c>
      <c r="D4342" s="4" t="str">
        <f>"朱琼"</f>
        <v>朱琼</v>
      </c>
      <c r="E4342" s="4" t="str">
        <f t="shared" si="170"/>
        <v>女</v>
      </c>
    </row>
    <row r="4343" spans="1:5" ht="30" customHeight="1">
      <c r="A4343" s="4">
        <v>4341</v>
      </c>
      <c r="B4343" s="4" t="str">
        <f>"39712022060109410078545"</f>
        <v>39712022060109410078545</v>
      </c>
      <c r="C4343" s="4" t="s">
        <v>31</v>
      </c>
      <c r="D4343" s="4" t="str">
        <f>"陈惠仪"</f>
        <v>陈惠仪</v>
      </c>
      <c r="E4343" s="4" t="str">
        <f t="shared" si="170"/>
        <v>女</v>
      </c>
    </row>
    <row r="4344" spans="1:5" ht="30" customHeight="1">
      <c r="A4344" s="4">
        <v>4342</v>
      </c>
      <c r="B4344" s="4" t="str">
        <f>"39712022060109503378635"</f>
        <v>39712022060109503378635</v>
      </c>
      <c r="C4344" s="4" t="s">
        <v>31</v>
      </c>
      <c r="D4344" s="4" t="str">
        <f>"何美霞"</f>
        <v>何美霞</v>
      </c>
      <c r="E4344" s="4" t="str">
        <f t="shared" si="170"/>
        <v>女</v>
      </c>
    </row>
    <row r="4345" spans="1:5" ht="30" customHeight="1">
      <c r="A4345" s="4">
        <v>4343</v>
      </c>
      <c r="B4345" s="4" t="str">
        <f>"39712022060110075378777"</f>
        <v>39712022060110075378777</v>
      </c>
      <c r="C4345" s="4" t="s">
        <v>31</v>
      </c>
      <c r="D4345" s="4" t="str">
        <f>"陈思思"</f>
        <v>陈思思</v>
      </c>
      <c r="E4345" s="4" t="str">
        <f t="shared" si="170"/>
        <v>女</v>
      </c>
    </row>
    <row r="4346" spans="1:5" ht="30" customHeight="1">
      <c r="A4346" s="4">
        <v>4344</v>
      </c>
      <c r="B4346" s="4" t="str">
        <f>"39712022060110112078806"</f>
        <v>39712022060110112078806</v>
      </c>
      <c r="C4346" s="4" t="s">
        <v>31</v>
      </c>
      <c r="D4346" s="4" t="str">
        <f>"蔡容"</f>
        <v>蔡容</v>
      </c>
      <c r="E4346" s="4" t="str">
        <f t="shared" si="170"/>
        <v>女</v>
      </c>
    </row>
    <row r="4347" spans="1:5" ht="30" customHeight="1">
      <c r="A4347" s="4">
        <v>4345</v>
      </c>
      <c r="B4347" s="4" t="str">
        <f>"39712022060110222378886"</f>
        <v>39712022060110222378886</v>
      </c>
      <c r="C4347" s="4" t="s">
        <v>31</v>
      </c>
      <c r="D4347" s="4" t="str">
        <f>"黄颖"</f>
        <v>黄颖</v>
      </c>
      <c r="E4347" s="4" t="str">
        <f t="shared" si="170"/>
        <v>女</v>
      </c>
    </row>
    <row r="4348" spans="1:5" ht="30" customHeight="1">
      <c r="A4348" s="4">
        <v>4346</v>
      </c>
      <c r="B4348" s="4" t="str">
        <f>"39712022060110435679062"</f>
        <v>39712022060110435679062</v>
      </c>
      <c r="C4348" s="4" t="s">
        <v>31</v>
      </c>
      <c r="D4348" s="4" t="str">
        <f>"李吉恋"</f>
        <v>李吉恋</v>
      </c>
      <c r="E4348" s="4" t="str">
        <f t="shared" si="170"/>
        <v>女</v>
      </c>
    </row>
    <row r="4349" spans="1:5" ht="30" customHeight="1">
      <c r="A4349" s="4">
        <v>4347</v>
      </c>
      <c r="B4349" s="4" t="str">
        <f>"39712022060110523379130"</f>
        <v>39712022060110523379130</v>
      </c>
      <c r="C4349" s="4" t="s">
        <v>31</v>
      </c>
      <c r="D4349" s="4" t="str">
        <f>"王绥薇"</f>
        <v>王绥薇</v>
      </c>
      <c r="E4349" s="4" t="str">
        <f t="shared" si="170"/>
        <v>女</v>
      </c>
    </row>
    <row r="4350" spans="1:5" ht="30" customHeight="1">
      <c r="A4350" s="4">
        <v>4348</v>
      </c>
      <c r="B4350" s="4" t="str">
        <f>"39712022060111045679229"</f>
        <v>39712022060111045679229</v>
      </c>
      <c r="C4350" s="4" t="s">
        <v>31</v>
      </c>
      <c r="D4350" s="4" t="str">
        <f>"陈欣莹"</f>
        <v>陈欣莹</v>
      </c>
      <c r="E4350" s="4" t="str">
        <f t="shared" si="170"/>
        <v>女</v>
      </c>
    </row>
    <row r="4351" spans="1:5" ht="30" customHeight="1">
      <c r="A4351" s="4">
        <v>4349</v>
      </c>
      <c r="B4351" s="4" t="str">
        <f>"39712022060111062479247"</f>
        <v>39712022060111062479247</v>
      </c>
      <c r="C4351" s="4" t="s">
        <v>31</v>
      </c>
      <c r="D4351" s="4" t="str">
        <f>"张晓旭"</f>
        <v>张晓旭</v>
      </c>
      <c r="E4351" s="4" t="str">
        <f t="shared" si="170"/>
        <v>女</v>
      </c>
    </row>
    <row r="4352" spans="1:5" ht="30" customHeight="1">
      <c r="A4352" s="4">
        <v>4350</v>
      </c>
      <c r="B4352" s="4" t="str">
        <f>"39712022060111092179277"</f>
        <v>39712022060111092179277</v>
      </c>
      <c r="C4352" s="4" t="s">
        <v>31</v>
      </c>
      <c r="D4352" s="4" t="str">
        <f>"孙嘉言"</f>
        <v>孙嘉言</v>
      </c>
      <c r="E4352" s="4" t="str">
        <f>"男"</f>
        <v>男</v>
      </c>
    </row>
    <row r="4353" spans="1:5" ht="30" customHeight="1">
      <c r="A4353" s="4">
        <v>4351</v>
      </c>
      <c r="B4353" s="4" t="str">
        <f>"39712022060111352679470"</f>
        <v>39712022060111352679470</v>
      </c>
      <c r="C4353" s="4" t="s">
        <v>31</v>
      </c>
      <c r="D4353" s="4" t="str">
        <f>"陈雪"</f>
        <v>陈雪</v>
      </c>
      <c r="E4353" s="4" t="str">
        <f aca="true" t="shared" si="171" ref="E4353:E4390">"女"</f>
        <v>女</v>
      </c>
    </row>
    <row r="4354" spans="1:5" ht="30" customHeight="1">
      <c r="A4354" s="4">
        <v>4352</v>
      </c>
      <c r="B4354" s="4" t="str">
        <f>"39712022060111464779529"</f>
        <v>39712022060111464779529</v>
      </c>
      <c r="C4354" s="4" t="s">
        <v>31</v>
      </c>
      <c r="D4354" s="4" t="str">
        <f>"黄燕玉"</f>
        <v>黄燕玉</v>
      </c>
      <c r="E4354" s="4" t="str">
        <f t="shared" si="171"/>
        <v>女</v>
      </c>
    </row>
    <row r="4355" spans="1:5" ht="30" customHeight="1">
      <c r="A4355" s="4">
        <v>4353</v>
      </c>
      <c r="B4355" s="4" t="str">
        <f>"39712022060111574779586"</f>
        <v>39712022060111574779586</v>
      </c>
      <c r="C4355" s="4" t="s">
        <v>31</v>
      </c>
      <c r="D4355" s="4" t="str">
        <f>"吴梦怡"</f>
        <v>吴梦怡</v>
      </c>
      <c r="E4355" s="4" t="str">
        <f t="shared" si="171"/>
        <v>女</v>
      </c>
    </row>
    <row r="4356" spans="1:5" ht="30" customHeight="1">
      <c r="A4356" s="4">
        <v>4354</v>
      </c>
      <c r="B4356" s="4" t="str">
        <f>"39712022060111574879587"</f>
        <v>39712022060111574879587</v>
      </c>
      <c r="C4356" s="4" t="s">
        <v>31</v>
      </c>
      <c r="D4356" s="4" t="str">
        <f>"梁晶玉"</f>
        <v>梁晶玉</v>
      </c>
      <c r="E4356" s="4" t="str">
        <f t="shared" si="171"/>
        <v>女</v>
      </c>
    </row>
    <row r="4357" spans="1:5" ht="30" customHeight="1">
      <c r="A4357" s="4">
        <v>4355</v>
      </c>
      <c r="B4357" s="4" t="str">
        <f>"39712022060112135779672"</f>
        <v>39712022060112135779672</v>
      </c>
      <c r="C4357" s="4" t="s">
        <v>31</v>
      </c>
      <c r="D4357" s="4" t="str">
        <f>"谢黄芳"</f>
        <v>谢黄芳</v>
      </c>
      <c r="E4357" s="4" t="str">
        <f t="shared" si="171"/>
        <v>女</v>
      </c>
    </row>
    <row r="4358" spans="1:5" ht="30" customHeight="1">
      <c r="A4358" s="4">
        <v>4356</v>
      </c>
      <c r="B4358" s="4" t="str">
        <f>"39712022060112155679687"</f>
        <v>39712022060112155679687</v>
      </c>
      <c r="C4358" s="4" t="s">
        <v>31</v>
      </c>
      <c r="D4358" s="4" t="str">
        <f>"向云萍"</f>
        <v>向云萍</v>
      </c>
      <c r="E4358" s="4" t="str">
        <f t="shared" si="171"/>
        <v>女</v>
      </c>
    </row>
    <row r="4359" spans="1:5" ht="30" customHeight="1">
      <c r="A4359" s="4">
        <v>4357</v>
      </c>
      <c r="B4359" s="4" t="str">
        <f>"39712022060112162879688"</f>
        <v>39712022060112162879688</v>
      </c>
      <c r="C4359" s="4" t="s">
        <v>31</v>
      </c>
      <c r="D4359" s="4" t="str">
        <f>"歹雪"</f>
        <v>歹雪</v>
      </c>
      <c r="E4359" s="4" t="str">
        <f t="shared" si="171"/>
        <v>女</v>
      </c>
    </row>
    <row r="4360" spans="1:5" ht="30" customHeight="1">
      <c r="A4360" s="4">
        <v>4358</v>
      </c>
      <c r="B4360" s="4" t="str">
        <f>"39712022060112252879732"</f>
        <v>39712022060112252879732</v>
      </c>
      <c r="C4360" s="4" t="s">
        <v>31</v>
      </c>
      <c r="D4360" s="4" t="str">
        <f>"杨珊"</f>
        <v>杨珊</v>
      </c>
      <c r="E4360" s="4" t="str">
        <f t="shared" si="171"/>
        <v>女</v>
      </c>
    </row>
    <row r="4361" spans="1:5" ht="30" customHeight="1">
      <c r="A4361" s="4">
        <v>4359</v>
      </c>
      <c r="B4361" s="4" t="str">
        <f>"39712022060112365079801"</f>
        <v>39712022060112365079801</v>
      </c>
      <c r="C4361" s="4" t="s">
        <v>31</v>
      </c>
      <c r="D4361" s="4" t="str">
        <f>"王姑女"</f>
        <v>王姑女</v>
      </c>
      <c r="E4361" s="4" t="str">
        <f t="shared" si="171"/>
        <v>女</v>
      </c>
    </row>
    <row r="4362" spans="1:5" ht="30" customHeight="1">
      <c r="A4362" s="4">
        <v>4360</v>
      </c>
      <c r="B4362" s="4" t="str">
        <f>"39712022060113501380140"</f>
        <v>39712022060113501380140</v>
      </c>
      <c r="C4362" s="4" t="s">
        <v>31</v>
      </c>
      <c r="D4362" s="4" t="str">
        <f>"王梦婕"</f>
        <v>王梦婕</v>
      </c>
      <c r="E4362" s="4" t="str">
        <f t="shared" si="171"/>
        <v>女</v>
      </c>
    </row>
    <row r="4363" spans="1:5" ht="30" customHeight="1">
      <c r="A4363" s="4">
        <v>4361</v>
      </c>
      <c r="B4363" s="4" t="str">
        <f>"39712022060114372880311"</f>
        <v>39712022060114372880311</v>
      </c>
      <c r="C4363" s="4" t="s">
        <v>31</v>
      </c>
      <c r="D4363" s="4" t="str">
        <f>"文苹妃"</f>
        <v>文苹妃</v>
      </c>
      <c r="E4363" s="4" t="str">
        <f t="shared" si="171"/>
        <v>女</v>
      </c>
    </row>
    <row r="4364" spans="1:5" ht="30" customHeight="1">
      <c r="A4364" s="4">
        <v>4362</v>
      </c>
      <c r="B4364" s="4" t="str">
        <f>"39712022060115162780525"</f>
        <v>39712022060115162780525</v>
      </c>
      <c r="C4364" s="4" t="s">
        <v>31</v>
      </c>
      <c r="D4364" s="4" t="str">
        <f>"尹祎喆"</f>
        <v>尹祎喆</v>
      </c>
      <c r="E4364" s="4" t="str">
        <f t="shared" si="171"/>
        <v>女</v>
      </c>
    </row>
    <row r="4365" spans="1:5" ht="30" customHeight="1">
      <c r="A4365" s="4">
        <v>4363</v>
      </c>
      <c r="B4365" s="4" t="str">
        <f>"39712022060115275480601"</f>
        <v>39712022060115275480601</v>
      </c>
      <c r="C4365" s="4" t="s">
        <v>31</v>
      </c>
      <c r="D4365" s="4" t="str">
        <f>"王春波"</f>
        <v>王春波</v>
      </c>
      <c r="E4365" s="4" t="str">
        <f t="shared" si="171"/>
        <v>女</v>
      </c>
    </row>
    <row r="4366" spans="1:5" ht="30" customHeight="1">
      <c r="A4366" s="4">
        <v>4364</v>
      </c>
      <c r="B4366" s="4" t="str">
        <f>"39712022060115341080640"</f>
        <v>39712022060115341080640</v>
      </c>
      <c r="C4366" s="4" t="s">
        <v>31</v>
      </c>
      <c r="D4366" s="4" t="str">
        <f>"马细英"</f>
        <v>马细英</v>
      </c>
      <c r="E4366" s="4" t="str">
        <f t="shared" si="171"/>
        <v>女</v>
      </c>
    </row>
    <row r="4367" spans="1:5" ht="30" customHeight="1">
      <c r="A4367" s="4">
        <v>4365</v>
      </c>
      <c r="B4367" s="4" t="str">
        <f>"39712022060115525480747"</f>
        <v>39712022060115525480747</v>
      </c>
      <c r="C4367" s="4" t="s">
        <v>31</v>
      </c>
      <c r="D4367" s="4" t="str">
        <f>"宋子阳"</f>
        <v>宋子阳</v>
      </c>
      <c r="E4367" s="4" t="str">
        <f t="shared" si="171"/>
        <v>女</v>
      </c>
    </row>
    <row r="4368" spans="1:5" ht="30" customHeight="1">
      <c r="A4368" s="4">
        <v>4366</v>
      </c>
      <c r="B4368" s="4" t="str">
        <f>"39712022060115572580779"</f>
        <v>39712022060115572580779</v>
      </c>
      <c r="C4368" s="4" t="s">
        <v>31</v>
      </c>
      <c r="D4368" s="4" t="str">
        <f>"陈一华"</f>
        <v>陈一华</v>
      </c>
      <c r="E4368" s="4" t="str">
        <f t="shared" si="171"/>
        <v>女</v>
      </c>
    </row>
    <row r="4369" spans="1:5" ht="30" customHeight="1">
      <c r="A4369" s="4">
        <v>4367</v>
      </c>
      <c r="B4369" s="4" t="str">
        <f>"39712022060116054780829"</f>
        <v>39712022060116054780829</v>
      </c>
      <c r="C4369" s="4" t="s">
        <v>31</v>
      </c>
      <c r="D4369" s="4" t="str">
        <f>"黄美琪"</f>
        <v>黄美琪</v>
      </c>
      <c r="E4369" s="4" t="str">
        <f t="shared" si="171"/>
        <v>女</v>
      </c>
    </row>
    <row r="4370" spans="1:5" ht="30" customHeight="1">
      <c r="A4370" s="4">
        <v>4368</v>
      </c>
      <c r="B4370" s="4" t="str">
        <f>"39712022060116175880901"</f>
        <v>39712022060116175880901</v>
      </c>
      <c r="C4370" s="4" t="s">
        <v>31</v>
      </c>
      <c r="D4370" s="4" t="str">
        <f>"彭夏芳"</f>
        <v>彭夏芳</v>
      </c>
      <c r="E4370" s="4" t="str">
        <f t="shared" si="171"/>
        <v>女</v>
      </c>
    </row>
    <row r="4371" spans="1:5" ht="30" customHeight="1">
      <c r="A4371" s="4">
        <v>4369</v>
      </c>
      <c r="B4371" s="4" t="str">
        <f>"39712022060116371681011"</f>
        <v>39712022060116371681011</v>
      </c>
      <c r="C4371" s="4" t="s">
        <v>31</v>
      </c>
      <c r="D4371" s="4" t="str">
        <f>"陈媛媛"</f>
        <v>陈媛媛</v>
      </c>
      <c r="E4371" s="4" t="str">
        <f t="shared" si="171"/>
        <v>女</v>
      </c>
    </row>
    <row r="4372" spans="1:5" ht="30" customHeight="1">
      <c r="A4372" s="4">
        <v>4370</v>
      </c>
      <c r="B4372" s="4" t="str">
        <f>"39712022060116372381013"</f>
        <v>39712022060116372381013</v>
      </c>
      <c r="C4372" s="4" t="s">
        <v>31</v>
      </c>
      <c r="D4372" s="4" t="str">
        <f>"何娇"</f>
        <v>何娇</v>
      </c>
      <c r="E4372" s="4" t="str">
        <f t="shared" si="171"/>
        <v>女</v>
      </c>
    </row>
    <row r="4373" spans="1:5" ht="30" customHeight="1">
      <c r="A4373" s="4">
        <v>4371</v>
      </c>
      <c r="B4373" s="4" t="str">
        <f>"39712022060116515681091"</f>
        <v>39712022060116515681091</v>
      </c>
      <c r="C4373" s="4" t="s">
        <v>31</v>
      </c>
      <c r="D4373" s="4" t="str">
        <f>"谢媛媛"</f>
        <v>谢媛媛</v>
      </c>
      <c r="E4373" s="4" t="str">
        <f t="shared" si="171"/>
        <v>女</v>
      </c>
    </row>
    <row r="4374" spans="1:5" ht="30" customHeight="1">
      <c r="A4374" s="4">
        <v>4372</v>
      </c>
      <c r="B4374" s="4" t="str">
        <f>"39712022060116542481112"</f>
        <v>39712022060116542481112</v>
      </c>
      <c r="C4374" s="4" t="s">
        <v>31</v>
      </c>
      <c r="D4374" s="4" t="str">
        <f>"张迪"</f>
        <v>张迪</v>
      </c>
      <c r="E4374" s="4" t="str">
        <f t="shared" si="171"/>
        <v>女</v>
      </c>
    </row>
    <row r="4375" spans="1:5" ht="30" customHeight="1">
      <c r="A4375" s="4">
        <v>4373</v>
      </c>
      <c r="B4375" s="4" t="str">
        <f>"39712022060116565881126"</f>
        <v>39712022060116565881126</v>
      </c>
      <c r="C4375" s="4" t="s">
        <v>31</v>
      </c>
      <c r="D4375" s="4" t="str">
        <f>"林宏晓"</f>
        <v>林宏晓</v>
      </c>
      <c r="E4375" s="4" t="str">
        <f t="shared" si="171"/>
        <v>女</v>
      </c>
    </row>
    <row r="4376" spans="1:5" ht="30" customHeight="1">
      <c r="A4376" s="4">
        <v>4374</v>
      </c>
      <c r="B4376" s="4" t="str">
        <f>"39712022060117215081258"</f>
        <v>39712022060117215081258</v>
      </c>
      <c r="C4376" s="4" t="s">
        <v>31</v>
      </c>
      <c r="D4376" s="4" t="str">
        <f>"周莉"</f>
        <v>周莉</v>
      </c>
      <c r="E4376" s="4" t="str">
        <f t="shared" si="171"/>
        <v>女</v>
      </c>
    </row>
    <row r="4377" spans="1:5" ht="30" customHeight="1">
      <c r="A4377" s="4">
        <v>4375</v>
      </c>
      <c r="B4377" s="4" t="str">
        <f>"39712022060117541081426"</f>
        <v>39712022060117541081426</v>
      </c>
      <c r="C4377" s="4" t="s">
        <v>31</v>
      </c>
      <c r="D4377" s="4" t="str">
        <f>"林小妃"</f>
        <v>林小妃</v>
      </c>
      <c r="E4377" s="4" t="str">
        <f t="shared" si="171"/>
        <v>女</v>
      </c>
    </row>
    <row r="4378" spans="1:5" ht="30" customHeight="1">
      <c r="A4378" s="4">
        <v>4376</v>
      </c>
      <c r="B4378" s="4" t="str">
        <f>"39712022060118010881459"</f>
        <v>39712022060118010881459</v>
      </c>
      <c r="C4378" s="4" t="s">
        <v>31</v>
      </c>
      <c r="D4378" s="4" t="str">
        <f>"王瑶青"</f>
        <v>王瑶青</v>
      </c>
      <c r="E4378" s="4" t="str">
        <f t="shared" si="171"/>
        <v>女</v>
      </c>
    </row>
    <row r="4379" spans="1:5" ht="30" customHeight="1">
      <c r="A4379" s="4">
        <v>4377</v>
      </c>
      <c r="B4379" s="4" t="str">
        <f>"39712022060118182881535"</f>
        <v>39712022060118182881535</v>
      </c>
      <c r="C4379" s="4" t="s">
        <v>31</v>
      </c>
      <c r="D4379" s="4" t="str">
        <f>"程婷"</f>
        <v>程婷</v>
      </c>
      <c r="E4379" s="4" t="str">
        <f t="shared" si="171"/>
        <v>女</v>
      </c>
    </row>
    <row r="4380" spans="1:5" ht="30" customHeight="1">
      <c r="A4380" s="4">
        <v>4378</v>
      </c>
      <c r="B4380" s="4" t="str">
        <f>"39712022060119302981826"</f>
        <v>39712022060119302981826</v>
      </c>
      <c r="C4380" s="4" t="s">
        <v>31</v>
      </c>
      <c r="D4380" s="4" t="str">
        <f>"钟静珍"</f>
        <v>钟静珍</v>
      </c>
      <c r="E4380" s="4" t="str">
        <f t="shared" si="171"/>
        <v>女</v>
      </c>
    </row>
    <row r="4381" spans="1:5" ht="30" customHeight="1">
      <c r="A4381" s="4">
        <v>4379</v>
      </c>
      <c r="B4381" s="4" t="str">
        <f>"39712022060119540781926"</f>
        <v>39712022060119540781926</v>
      </c>
      <c r="C4381" s="4" t="s">
        <v>31</v>
      </c>
      <c r="D4381" s="4" t="str">
        <f>"陈丽纯"</f>
        <v>陈丽纯</v>
      </c>
      <c r="E4381" s="4" t="str">
        <f t="shared" si="171"/>
        <v>女</v>
      </c>
    </row>
    <row r="4382" spans="1:5" ht="30" customHeight="1">
      <c r="A4382" s="4">
        <v>4380</v>
      </c>
      <c r="B4382" s="4" t="str">
        <f>"39712022060120463782163"</f>
        <v>39712022060120463782163</v>
      </c>
      <c r="C4382" s="4" t="s">
        <v>31</v>
      </c>
      <c r="D4382" s="4" t="str">
        <f>"杨珍"</f>
        <v>杨珍</v>
      </c>
      <c r="E4382" s="4" t="str">
        <f t="shared" si="171"/>
        <v>女</v>
      </c>
    </row>
    <row r="4383" spans="1:5" ht="30" customHeight="1">
      <c r="A4383" s="4">
        <v>4381</v>
      </c>
      <c r="B4383" s="4" t="str">
        <f>"39712022060121231482345"</f>
        <v>39712022060121231482345</v>
      </c>
      <c r="C4383" s="4" t="s">
        <v>31</v>
      </c>
      <c r="D4383" s="4" t="str">
        <f>"方宝瑜"</f>
        <v>方宝瑜</v>
      </c>
      <c r="E4383" s="4" t="str">
        <f t="shared" si="171"/>
        <v>女</v>
      </c>
    </row>
    <row r="4384" spans="1:5" ht="30" customHeight="1">
      <c r="A4384" s="4">
        <v>4382</v>
      </c>
      <c r="B4384" s="4" t="str">
        <f>"39712022060121584182553"</f>
        <v>39712022060121584182553</v>
      </c>
      <c r="C4384" s="4" t="s">
        <v>31</v>
      </c>
      <c r="D4384" s="4" t="str">
        <f>"黄文慧"</f>
        <v>黄文慧</v>
      </c>
      <c r="E4384" s="4" t="str">
        <f t="shared" si="171"/>
        <v>女</v>
      </c>
    </row>
    <row r="4385" spans="1:5" ht="30" customHeight="1">
      <c r="A4385" s="4">
        <v>4383</v>
      </c>
      <c r="B4385" s="4" t="str">
        <f>"39712022060122055382590"</f>
        <v>39712022060122055382590</v>
      </c>
      <c r="C4385" s="4" t="s">
        <v>31</v>
      </c>
      <c r="D4385" s="4" t="str">
        <f>"钟文苑"</f>
        <v>钟文苑</v>
      </c>
      <c r="E4385" s="4" t="str">
        <f t="shared" si="171"/>
        <v>女</v>
      </c>
    </row>
    <row r="4386" spans="1:5" ht="30" customHeight="1">
      <c r="A4386" s="4">
        <v>4384</v>
      </c>
      <c r="B4386" s="4" t="str">
        <f>"39712022060122325382734"</f>
        <v>39712022060122325382734</v>
      </c>
      <c r="C4386" s="4" t="s">
        <v>31</v>
      </c>
      <c r="D4386" s="4" t="str">
        <f>"陈航"</f>
        <v>陈航</v>
      </c>
      <c r="E4386" s="4" t="str">
        <f t="shared" si="171"/>
        <v>女</v>
      </c>
    </row>
    <row r="4387" spans="1:5" ht="30" customHeight="1">
      <c r="A4387" s="4">
        <v>4385</v>
      </c>
      <c r="B4387" s="4" t="str">
        <f>"39712022060208265783309"</f>
        <v>39712022060208265783309</v>
      </c>
      <c r="C4387" s="4" t="s">
        <v>31</v>
      </c>
      <c r="D4387" s="4" t="str">
        <f>"冯晓杏"</f>
        <v>冯晓杏</v>
      </c>
      <c r="E4387" s="4" t="str">
        <f t="shared" si="171"/>
        <v>女</v>
      </c>
    </row>
    <row r="4388" spans="1:5" ht="30" customHeight="1">
      <c r="A4388" s="4">
        <v>4386</v>
      </c>
      <c r="B4388" s="4" t="str">
        <f>"39712022060208362883368"</f>
        <v>39712022060208362883368</v>
      </c>
      <c r="C4388" s="4" t="s">
        <v>31</v>
      </c>
      <c r="D4388" s="4" t="str">
        <f>"姜珊"</f>
        <v>姜珊</v>
      </c>
      <c r="E4388" s="4" t="str">
        <f t="shared" si="171"/>
        <v>女</v>
      </c>
    </row>
    <row r="4389" spans="1:5" ht="30" customHeight="1">
      <c r="A4389" s="4">
        <v>4387</v>
      </c>
      <c r="B4389" s="4" t="str">
        <f>"39712022060209150783617"</f>
        <v>39712022060209150783617</v>
      </c>
      <c r="C4389" s="4" t="s">
        <v>31</v>
      </c>
      <c r="D4389" s="4" t="str">
        <f>"黎佩"</f>
        <v>黎佩</v>
      </c>
      <c r="E4389" s="4" t="str">
        <f t="shared" si="171"/>
        <v>女</v>
      </c>
    </row>
    <row r="4390" spans="1:5" ht="30" customHeight="1">
      <c r="A4390" s="4">
        <v>4388</v>
      </c>
      <c r="B4390" s="4" t="str">
        <f>"39712022060209460583850"</f>
        <v>39712022060209460583850</v>
      </c>
      <c r="C4390" s="4" t="s">
        <v>31</v>
      </c>
      <c r="D4390" s="4" t="str">
        <f>"麦少缘"</f>
        <v>麦少缘</v>
      </c>
      <c r="E4390" s="4" t="str">
        <f t="shared" si="171"/>
        <v>女</v>
      </c>
    </row>
    <row r="4391" spans="1:5" ht="30" customHeight="1">
      <c r="A4391" s="4">
        <v>4389</v>
      </c>
      <c r="B4391" s="4" t="str">
        <f>"39712022060210132784036"</f>
        <v>39712022060210132784036</v>
      </c>
      <c r="C4391" s="4" t="s">
        <v>31</v>
      </c>
      <c r="D4391" s="4" t="str">
        <f>"戴大顺"</f>
        <v>戴大顺</v>
      </c>
      <c r="E4391" s="4" t="str">
        <f>"男"</f>
        <v>男</v>
      </c>
    </row>
    <row r="4392" spans="1:5" ht="30" customHeight="1">
      <c r="A4392" s="4">
        <v>4390</v>
      </c>
      <c r="B4392" s="4" t="str">
        <f>"39712022060210230184123"</f>
        <v>39712022060210230184123</v>
      </c>
      <c r="C4392" s="4" t="s">
        <v>31</v>
      </c>
      <c r="D4392" s="4" t="str">
        <f>"沈家芳"</f>
        <v>沈家芳</v>
      </c>
      <c r="E4392" s="4" t="str">
        <f aca="true" t="shared" si="172" ref="E4392:E4422">"女"</f>
        <v>女</v>
      </c>
    </row>
    <row r="4393" spans="1:5" ht="30" customHeight="1">
      <c r="A4393" s="4">
        <v>4391</v>
      </c>
      <c r="B4393" s="4" t="str">
        <f>"39712022060210503684330"</f>
        <v>39712022060210503684330</v>
      </c>
      <c r="C4393" s="4" t="s">
        <v>31</v>
      </c>
      <c r="D4393" s="4" t="str">
        <f>"吉才映"</f>
        <v>吉才映</v>
      </c>
      <c r="E4393" s="4" t="str">
        <f t="shared" si="172"/>
        <v>女</v>
      </c>
    </row>
    <row r="4394" spans="1:5" ht="30" customHeight="1">
      <c r="A4394" s="4">
        <v>4392</v>
      </c>
      <c r="B4394" s="4" t="str">
        <f>"39712022060211455484700"</f>
        <v>39712022060211455484700</v>
      </c>
      <c r="C4394" s="4" t="s">
        <v>31</v>
      </c>
      <c r="D4394" s="4" t="str">
        <f>"吴妹"</f>
        <v>吴妹</v>
      </c>
      <c r="E4394" s="4" t="str">
        <f t="shared" si="172"/>
        <v>女</v>
      </c>
    </row>
    <row r="4395" spans="1:5" ht="30" customHeight="1">
      <c r="A4395" s="4">
        <v>4393</v>
      </c>
      <c r="B4395" s="4" t="str">
        <f>"39712022060212150384854"</f>
        <v>39712022060212150384854</v>
      </c>
      <c r="C4395" s="4" t="s">
        <v>31</v>
      </c>
      <c r="D4395" s="4" t="str">
        <f>"张汉娇"</f>
        <v>张汉娇</v>
      </c>
      <c r="E4395" s="4" t="str">
        <f t="shared" si="172"/>
        <v>女</v>
      </c>
    </row>
    <row r="4396" spans="1:5" ht="30" customHeight="1">
      <c r="A4396" s="4">
        <v>4394</v>
      </c>
      <c r="B4396" s="4" t="str">
        <f>"39712022060212323984951"</f>
        <v>39712022060212323984951</v>
      </c>
      <c r="C4396" s="4" t="s">
        <v>31</v>
      </c>
      <c r="D4396" s="4" t="str">
        <f>"钟佩瑜"</f>
        <v>钟佩瑜</v>
      </c>
      <c r="E4396" s="4" t="str">
        <f t="shared" si="172"/>
        <v>女</v>
      </c>
    </row>
    <row r="4397" spans="1:5" ht="30" customHeight="1">
      <c r="A4397" s="4">
        <v>4395</v>
      </c>
      <c r="B4397" s="4" t="str">
        <f>"39712022060213280785249"</f>
        <v>39712022060213280785249</v>
      </c>
      <c r="C4397" s="4" t="s">
        <v>31</v>
      </c>
      <c r="D4397" s="4" t="str">
        <f>"卢兰珍"</f>
        <v>卢兰珍</v>
      </c>
      <c r="E4397" s="4" t="str">
        <f t="shared" si="172"/>
        <v>女</v>
      </c>
    </row>
    <row r="4398" spans="1:5" ht="30" customHeight="1">
      <c r="A4398" s="4">
        <v>4396</v>
      </c>
      <c r="B4398" s="4" t="str">
        <f>"39712022060213475185334"</f>
        <v>39712022060213475185334</v>
      </c>
      <c r="C4398" s="4" t="s">
        <v>31</v>
      </c>
      <c r="D4398" s="4" t="str">
        <f>"文妃容"</f>
        <v>文妃容</v>
      </c>
      <c r="E4398" s="4" t="str">
        <f t="shared" si="172"/>
        <v>女</v>
      </c>
    </row>
    <row r="4399" spans="1:5" ht="30" customHeight="1">
      <c r="A4399" s="4">
        <v>4397</v>
      </c>
      <c r="B4399" s="4" t="str">
        <f>"39712022060214121385429"</f>
        <v>39712022060214121385429</v>
      </c>
      <c r="C4399" s="4" t="s">
        <v>31</v>
      </c>
      <c r="D4399" s="4" t="str">
        <f>"夏丽丽"</f>
        <v>夏丽丽</v>
      </c>
      <c r="E4399" s="4" t="str">
        <f t="shared" si="172"/>
        <v>女</v>
      </c>
    </row>
    <row r="4400" spans="1:5" ht="30" customHeight="1">
      <c r="A4400" s="4">
        <v>4398</v>
      </c>
      <c r="B4400" s="4" t="str">
        <f>"39712022060214320085507"</f>
        <v>39712022060214320085507</v>
      </c>
      <c r="C4400" s="4" t="s">
        <v>31</v>
      </c>
      <c r="D4400" s="4" t="str">
        <f>"刘彦芝"</f>
        <v>刘彦芝</v>
      </c>
      <c r="E4400" s="4" t="str">
        <f t="shared" si="172"/>
        <v>女</v>
      </c>
    </row>
    <row r="4401" spans="1:5" ht="30" customHeight="1">
      <c r="A4401" s="4">
        <v>4399</v>
      </c>
      <c r="B4401" s="4" t="str">
        <f>"39712022060215244985807"</f>
        <v>39712022060215244985807</v>
      </c>
      <c r="C4401" s="4" t="s">
        <v>31</v>
      </c>
      <c r="D4401" s="4" t="str">
        <f>"周瑞娜"</f>
        <v>周瑞娜</v>
      </c>
      <c r="E4401" s="4" t="str">
        <f t="shared" si="172"/>
        <v>女</v>
      </c>
    </row>
    <row r="4402" spans="1:5" ht="30" customHeight="1">
      <c r="A4402" s="4">
        <v>4400</v>
      </c>
      <c r="B4402" s="4" t="str">
        <f>"39712022060216153486097"</f>
        <v>39712022060216153486097</v>
      </c>
      <c r="C4402" s="4" t="s">
        <v>31</v>
      </c>
      <c r="D4402" s="4" t="str">
        <f>"黄琼哗"</f>
        <v>黄琼哗</v>
      </c>
      <c r="E4402" s="4" t="str">
        <f t="shared" si="172"/>
        <v>女</v>
      </c>
    </row>
    <row r="4403" spans="1:5" ht="30" customHeight="1">
      <c r="A4403" s="4">
        <v>4401</v>
      </c>
      <c r="B4403" s="4" t="str">
        <f>"39712022060216203886136"</f>
        <v>39712022060216203886136</v>
      </c>
      <c r="C4403" s="4" t="s">
        <v>31</v>
      </c>
      <c r="D4403" s="4" t="str">
        <f>"刘芳燕"</f>
        <v>刘芳燕</v>
      </c>
      <c r="E4403" s="4" t="str">
        <f t="shared" si="172"/>
        <v>女</v>
      </c>
    </row>
    <row r="4404" spans="1:5" ht="30" customHeight="1">
      <c r="A4404" s="4">
        <v>4402</v>
      </c>
      <c r="B4404" s="4" t="str">
        <f>"39712022060216302786181"</f>
        <v>39712022060216302786181</v>
      </c>
      <c r="C4404" s="4" t="s">
        <v>31</v>
      </c>
      <c r="D4404" s="4" t="str">
        <f>"杨舒婷"</f>
        <v>杨舒婷</v>
      </c>
      <c r="E4404" s="4" t="str">
        <f t="shared" si="172"/>
        <v>女</v>
      </c>
    </row>
    <row r="4405" spans="1:5" ht="30" customHeight="1">
      <c r="A4405" s="4">
        <v>4403</v>
      </c>
      <c r="B4405" s="4" t="str">
        <f>"39712022060216482486252"</f>
        <v>39712022060216482486252</v>
      </c>
      <c r="C4405" s="4" t="s">
        <v>31</v>
      </c>
      <c r="D4405" s="4" t="str">
        <f>"王紫"</f>
        <v>王紫</v>
      </c>
      <c r="E4405" s="4" t="str">
        <f t="shared" si="172"/>
        <v>女</v>
      </c>
    </row>
    <row r="4406" spans="1:5" ht="30" customHeight="1">
      <c r="A4406" s="4">
        <v>4404</v>
      </c>
      <c r="B4406" s="4" t="str">
        <f>"39712022060217083486353"</f>
        <v>39712022060217083486353</v>
      </c>
      <c r="C4406" s="4" t="s">
        <v>31</v>
      </c>
      <c r="D4406" s="4" t="str">
        <f>"孙子雯"</f>
        <v>孙子雯</v>
      </c>
      <c r="E4406" s="4" t="str">
        <f t="shared" si="172"/>
        <v>女</v>
      </c>
    </row>
    <row r="4407" spans="1:5" ht="30" customHeight="1">
      <c r="A4407" s="4">
        <v>4405</v>
      </c>
      <c r="B4407" s="4" t="str">
        <f>"39712022060217551886551"</f>
        <v>39712022060217551886551</v>
      </c>
      <c r="C4407" s="4" t="s">
        <v>31</v>
      </c>
      <c r="D4407" s="4" t="str">
        <f>"郑梅娃"</f>
        <v>郑梅娃</v>
      </c>
      <c r="E4407" s="4" t="str">
        <f t="shared" si="172"/>
        <v>女</v>
      </c>
    </row>
    <row r="4408" spans="1:5" ht="30" customHeight="1">
      <c r="A4408" s="4">
        <v>4406</v>
      </c>
      <c r="B4408" s="4" t="str">
        <f>"39712022060218021086587"</f>
        <v>39712022060218021086587</v>
      </c>
      <c r="C4408" s="4" t="s">
        <v>31</v>
      </c>
      <c r="D4408" s="4" t="str">
        <f>"林娜妃"</f>
        <v>林娜妃</v>
      </c>
      <c r="E4408" s="4" t="str">
        <f t="shared" si="172"/>
        <v>女</v>
      </c>
    </row>
    <row r="4409" spans="1:5" ht="30" customHeight="1">
      <c r="A4409" s="4">
        <v>4407</v>
      </c>
      <c r="B4409" s="4" t="str">
        <f>"39712022060218085086615"</f>
        <v>39712022060218085086615</v>
      </c>
      <c r="C4409" s="4" t="s">
        <v>31</v>
      </c>
      <c r="D4409" s="4" t="str">
        <f>"张艳璐"</f>
        <v>张艳璐</v>
      </c>
      <c r="E4409" s="4" t="str">
        <f t="shared" si="172"/>
        <v>女</v>
      </c>
    </row>
    <row r="4410" spans="1:5" ht="30" customHeight="1">
      <c r="A4410" s="4">
        <v>4408</v>
      </c>
      <c r="B4410" s="4" t="str">
        <f>"39712022060218390086703"</f>
        <v>39712022060218390086703</v>
      </c>
      <c r="C4410" s="4" t="s">
        <v>31</v>
      </c>
      <c r="D4410" s="4" t="str">
        <f>"贾青青"</f>
        <v>贾青青</v>
      </c>
      <c r="E4410" s="4" t="str">
        <f t="shared" si="172"/>
        <v>女</v>
      </c>
    </row>
    <row r="4411" spans="1:5" ht="30" customHeight="1">
      <c r="A4411" s="4">
        <v>4409</v>
      </c>
      <c r="B4411" s="4" t="str">
        <f>"39712022060218444186714"</f>
        <v>39712022060218444186714</v>
      </c>
      <c r="C4411" s="4" t="s">
        <v>31</v>
      </c>
      <c r="D4411" s="4" t="str">
        <f>"李华丹"</f>
        <v>李华丹</v>
      </c>
      <c r="E4411" s="4" t="str">
        <f t="shared" si="172"/>
        <v>女</v>
      </c>
    </row>
    <row r="4412" spans="1:5" ht="30" customHeight="1">
      <c r="A4412" s="4">
        <v>4410</v>
      </c>
      <c r="B4412" s="4" t="str">
        <f>"39712022060218483986728"</f>
        <v>39712022060218483986728</v>
      </c>
      <c r="C4412" s="4" t="s">
        <v>31</v>
      </c>
      <c r="D4412" s="4" t="str">
        <f>"谢继梅"</f>
        <v>谢继梅</v>
      </c>
      <c r="E4412" s="4" t="str">
        <f t="shared" si="172"/>
        <v>女</v>
      </c>
    </row>
    <row r="4413" spans="1:5" ht="30" customHeight="1">
      <c r="A4413" s="4">
        <v>4411</v>
      </c>
      <c r="B4413" s="4" t="str">
        <f>"39712022060218585386757"</f>
        <v>39712022060218585386757</v>
      </c>
      <c r="C4413" s="4" t="s">
        <v>31</v>
      </c>
      <c r="D4413" s="4" t="str">
        <f>"蔡芬"</f>
        <v>蔡芬</v>
      </c>
      <c r="E4413" s="4" t="str">
        <f t="shared" si="172"/>
        <v>女</v>
      </c>
    </row>
    <row r="4414" spans="1:5" ht="30" customHeight="1">
      <c r="A4414" s="4">
        <v>4412</v>
      </c>
      <c r="B4414" s="4" t="str">
        <f>"39712022060219382586875"</f>
        <v>39712022060219382586875</v>
      </c>
      <c r="C4414" s="4" t="s">
        <v>31</v>
      </c>
      <c r="D4414" s="4" t="str">
        <f>"吕源"</f>
        <v>吕源</v>
      </c>
      <c r="E4414" s="4" t="str">
        <f t="shared" si="172"/>
        <v>女</v>
      </c>
    </row>
    <row r="4415" spans="1:5" ht="30" customHeight="1">
      <c r="A4415" s="4">
        <v>4413</v>
      </c>
      <c r="B4415" s="4" t="str">
        <f>"39712022060220174386974"</f>
        <v>39712022060220174386974</v>
      </c>
      <c r="C4415" s="4" t="s">
        <v>31</v>
      </c>
      <c r="D4415" s="4" t="str">
        <f>"叶燕英"</f>
        <v>叶燕英</v>
      </c>
      <c r="E4415" s="4" t="str">
        <f t="shared" si="172"/>
        <v>女</v>
      </c>
    </row>
    <row r="4416" spans="1:5" ht="30" customHeight="1">
      <c r="A4416" s="4">
        <v>4414</v>
      </c>
      <c r="B4416" s="4" t="str">
        <f>"39712022060220443487048"</f>
        <v>39712022060220443487048</v>
      </c>
      <c r="C4416" s="4" t="s">
        <v>31</v>
      </c>
      <c r="D4416" s="4" t="str">
        <f>"陈瑜"</f>
        <v>陈瑜</v>
      </c>
      <c r="E4416" s="4" t="str">
        <f t="shared" si="172"/>
        <v>女</v>
      </c>
    </row>
    <row r="4417" spans="1:5" ht="30" customHeight="1">
      <c r="A4417" s="4">
        <v>4415</v>
      </c>
      <c r="B4417" s="4" t="str">
        <f>"39712022060221272387201"</f>
        <v>39712022060221272387201</v>
      </c>
      <c r="C4417" s="4" t="s">
        <v>31</v>
      </c>
      <c r="D4417" s="4" t="str">
        <f>"陈美璇"</f>
        <v>陈美璇</v>
      </c>
      <c r="E4417" s="4" t="str">
        <f t="shared" si="172"/>
        <v>女</v>
      </c>
    </row>
    <row r="4418" spans="1:5" ht="30" customHeight="1">
      <c r="A4418" s="4">
        <v>4416</v>
      </c>
      <c r="B4418" s="4" t="str">
        <f>"39712022060222073387323"</f>
        <v>39712022060222073387323</v>
      </c>
      <c r="C4418" s="4" t="s">
        <v>31</v>
      </c>
      <c r="D4418" s="4" t="str">
        <f>"杨铭雪"</f>
        <v>杨铭雪</v>
      </c>
      <c r="E4418" s="4" t="str">
        <f t="shared" si="172"/>
        <v>女</v>
      </c>
    </row>
    <row r="4419" spans="1:5" ht="30" customHeight="1">
      <c r="A4419" s="4">
        <v>4417</v>
      </c>
      <c r="B4419" s="4" t="str">
        <f>"39712022060222273687392"</f>
        <v>39712022060222273687392</v>
      </c>
      <c r="C4419" s="4" t="s">
        <v>31</v>
      </c>
      <c r="D4419" s="4" t="str">
        <f>"陈延玉"</f>
        <v>陈延玉</v>
      </c>
      <c r="E4419" s="4" t="str">
        <f t="shared" si="172"/>
        <v>女</v>
      </c>
    </row>
    <row r="4420" spans="1:5" ht="30" customHeight="1">
      <c r="A4420" s="4">
        <v>4418</v>
      </c>
      <c r="B4420" s="4" t="str">
        <f>"39712022060310223687767"</f>
        <v>39712022060310223687767</v>
      </c>
      <c r="C4420" s="4" t="s">
        <v>31</v>
      </c>
      <c r="D4420" s="4" t="str">
        <f>"陈俏先"</f>
        <v>陈俏先</v>
      </c>
      <c r="E4420" s="4" t="str">
        <f t="shared" si="172"/>
        <v>女</v>
      </c>
    </row>
    <row r="4421" spans="1:5" ht="30" customHeight="1">
      <c r="A4421" s="4">
        <v>4419</v>
      </c>
      <c r="B4421" s="4" t="str">
        <f>"39712022060314241688011"</f>
        <v>39712022060314241688011</v>
      </c>
      <c r="C4421" s="4" t="s">
        <v>31</v>
      </c>
      <c r="D4421" s="4" t="str">
        <f>"陈虹"</f>
        <v>陈虹</v>
      </c>
      <c r="E4421" s="4" t="str">
        <f t="shared" si="172"/>
        <v>女</v>
      </c>
    </row>
    <row r="4422" spans="1:5" ht="30" customHeight="1">
      <c r="A4422" s="4">
        <v>4420</v>
      </c>
      <c r="B4422" s="4" t="str">
        <f>"39712022060315055288046"</f>
        <v>39712022060315055288046</v>
      </c>
      <c r="C4422" s="4" t="s">
        <v>31</v>
      </c>
      <c r="D4422" s="4" t="str">
        <f>"程祎"</f>
        <v>程祎</v>
      </c>
      <c r="E4422" s="4" t="str">
        <f t="shared" si="172"/>
        <v>女</v>
      </c>
    </row>
    <row r="4423" spans="1:5" ht="30" customHeight="1">
      <c r="A4423" s="4">
        <v>4421</v>
      </c>
      <c r="B4423" s="4" t="str">
        <f>"39712022060315284488073"</f>
        <v>39712022060315284488073</v>
      </c>
      <c r="C4423" s="4" t="s">
        <v>31</v>
      </c>
      <c r="D4423" s="4" t="str">
        <f>"林芳森"</f>
        <v>林芳森</v>
      </c>
      <c r="E4423" s="4" t="str">
        <f>"男"</f>
        <v>男</v>
      </c>
    </row>
    <row r="4424" spans="1:5" ht="30" customHeight="1">
      <c r="A4424" s="4">
        <v>4422</v>
      </c>
      <c r="B4424" s="4" t="str">
        <f>"39712022060317493488201"</f>
        <v>39712022060317493488201</v>
      </c>
      <c r="C4424" s="4" t="s">
        <v>31</v>
      </c>
      <c r="D4424" s="4" t="str">
        <f>"贾青梅"</f>
        <v>贾青梅</v>
      </c>
      <c r="E4424" s="4" t="str">
        <f aca="true" t="shared" si="173" ref="E4424:E4439">"女"</f>
        <v>女</v>
      </c>
    </row>
    <row r="4425" spans="1:5" ht="30" customHeight="1">
      <c r="A4425" s="4">
        <v>4423</v>
      </c>
      <c r="B4425" s="4" t="str">
        <f>"39712022060317551688209"</f>
        <v>39712022060317551688209</v>
      </c>
      <c r="C4425" s="4" t="s">
        <v>31</v>
      </c>
      <c r="D4425" s="4" t="str">
        <f>"覃荣艳"</f>
        <v>覃荣艳</v>
      </c>
      <c r="E4425" s="4" t="str">
        <f t="shared" si="173"/>
        <v>女</v>
      </c>
    </row>
    <row r="4426" spans="1:5" ht="30" customHeight="1">
      <c r="A4426" s="4">
        <v>4424</v>
      </c>
      <c r="B4426" s="4" t="str">
        <f>"39712022060318443488250"</f>
        <v>39712022060318443488250</v>
      </c>
      <c r="C4426" s="4" t="s">
        <v>31</v>
      </c>
      <c r="D4426" s="4" t="str">
        <f>"李慧芳"</f>
        <v>李慧芳</v>
      </c>
      <c r="E4426" s="4" t="str">
        <f t="shared" si="173"/>
        <v>女</v>
      </c>
    </row>
    <row r="4427" spans="1:5" ht="30" customHeight="1">
      <c r="A4427" s="4">
        <v>4425</v>
      </c>
      <c r="B4427" s="4" t="str">
        <f>"39712022060320073188327"</f>
        <v>39712022060320073188327</v>
      </c>
      <c r="C4427" s="4" t="s">
        <v>31</v>
      </c>
      <c r="D4427" s="4" t="str">
        <f>"孟璐"</f>
        <v>孟璐</v>
      </c>
      <c r="E4427" s="4" t="str">
        <f t="shared" si="173"/>
        <v>女</v>
      </c>
    </row>
    <row r="4428" spans="1:5" ht="30" customHeight="1">
      <c r="A4428" s="4">
        <v>4426</v>
      </c>
      <c r="B4428" s="4" t="str">
        <f>"39712022060320360588350"</f>
        <v>39712022060320360588350</v>
      </c>
      <c r="C4428" s="4" t="s">
        <v>31</v>
      </c>
      <c r="D4428" s="4" t="str">
        <f>"梁来选"</f>
        <v>梁来选</v>
      </c>
      <c r="E4428" s="4" t="str">
        <f t="shared" si="173"/>
        <v>女</v>
      </c>
    </row>
    <row r="4429" spans="1:5" ht="30" customHeight="1">
      <c r="A4429" s="4">
        <v>4427</v>
      </c>
      <c r="B4429" s="4" t="str">
        <f>"39712022060322471088496"</f>
        <v>39712022060322471088496</v>
      </c>
      <c r="C4429" s="4" t="s">
        <v>31</v>
      </c>
      <c r="D4429" s="4" t="str">
        <f>"符家贇"</f>
        <v>符家贇</v>
      </c>
      <c r="E4429" s="4" t="str">
        <f t="shared" si="173"/>
        <v>女</v>
      </c>
    </row>
    <row r="4430" spans="1:5" ht="30" customHeight="1">
      <c r="A4430" s="4">
        <v>4428</v>
      </c>
      <c r="B4430" s="4" t="str">
        <f>"39712022060400312488558"</f>
        <v>39712022060400312488558</v>
      </c>
      <c r="C4430" s="4" t="s">
        <v>31</v>
      </c>
      <c r="D4430" s="4" t="str">
        <f>"陈凤英"</f>
        <v>陈凤英</v>
      </c>
      <c r="E4430" s="4" t="str">
        <f t="shared" si="173"/>
        <v>女</v>
      </c>
    </row>
    <row r="4431" spans="1:5" ht="30" customHeight="1">
      <c r="A4431" s="4">
        <v>4429</v>
      </c>
      <c r="B4431" s="4" t="str">
        <f>"39712022060411071388783"</f>
        <v>39712022060411071388783</v>
      </c>
      <c r="C4431" s="4" t="s">
        <v>31</v>
      </c>
      <c r="D4431" s="4" t="str">
        <f>"李红丽"</f>
        <v>李红丽</v>
      </c>
      <c r="E4431" s="4" t="str">
        <f t="shared" si="173"/>
        <v>女</v>
      </c>
    </row>
    <row r="4432" spans="1:5" ht="30" customHeight="1">
      <c r="A4432" s="4">
        <v>4430</v>
      </c>
      <c r="B4432" s="4" t="str">
        <f>"39712022060411242988804"</f>
        <v>39712022060411242988804</v>
      </c>
      <c r="C4432" s="4" t="s">
        <v>31</v>
      </c>
      <c r="D4432" s="4" t="str">
        <f>"杨艳"</f>
        <v>杨艳</v>
      </c>
      <c r="E4432" s="4" t="str">
        <f t="shared" si="173"/>
        <v>女</v>
      </c>
    </row>
    <row r="4433" spans="1:5" ht="30" customHeight="1">
      <c r="A4433" s="4">
        <v>4431</v>
      </c>
      <c r="B4433" s="4" t="str">
        <f>"39712022060411395088817"</f>
        <v>39712022060411395088817</v>
      </c>
      <c r="C4433" s="4" t="s">
        <v>31</v>
      </c>
      <c r="D4433" s="4" t="str">
        <f>"魏婷婷"</f>
        <v>魏婷婷</v>
      </c>
      <c r="E4433" s="4" t="str">
        <f t="shared" si="173"/>
        <v>女</v>
      </c>
    </row>
    <row r="4434" spans="1:5" ht="30" customHeight="1">
      <c r="A4434" s="4">
        <v>4432</v>
      </c>
      <c r="B4434" s="4" t="str">
        <f>"39712022060411560688838"</f>
        <v>39712022060411560688838</v>
      </c>
      <c r="C4434" s="4" t="s">
        <v>31</v>
      </c>
      <c r="D4434" s="4" t="str">
        <f>"罗小奋"</f>
        <v>罗小奋</v>
      </c>
      <c r="E4434" s="4" t="str">
        <f t="shared" si="173"/>
        <v>女</v>
      </c>
    </row>
    <row r="4435" spans="1:5" ht="30" customHeight="1">
      <c r="A4435" s="4">
        <v>4433</v>
      </c>
      <c r="B4435" s="4" t="str">
        <f>"39712022060416310989096"</f>
        <v>39712022060416310989096</v>
      </c>
      <c r="C4435" s="4" t="s">
        <v>31</v>
      </c>
      <c r="D4435" s="4" t="str">
        <f>"孟园园"</f>
        <v>孟园园</v>
      </c>
      <c r="E4435" s="4" t="str">
        <f t="shared" si="173"/>
        <v>女</v>
      </c>
    </row>
    <row r="4436" spans="1:5" ht="30" customHeight="1">
      <c r="A4436" s="4">
        <v>4434</v>
      </c>
      <c r="B4436" s="4" t="str">
        <f>"39712022060416333589100"</f>
        <v>39712022060416333589100</v>
      </c>
      <c r="C4436" s="4" t="s">
        <v>31</v>
      </c>
      <c r="D4436" s="4" t="str">
        <f>"黄曼颖"</f>
        <v>黄曼颖</v>
      </c>
      <c r="E4436" s="4" t="str">
        <f t="shared" si="173"/>
        <v>女</v>
      </c>
    </row>
    <row r="4437" spans="1:5" ht="30" customHeight="1">
      <c r="A4437" s="4">
        <v>4435</v>
      </c>
      <c r="B4437" s="4" t="str">
        <f>"39712022060416521189115"</f>
        <v>39712022060416521189115</v>
      </c>
      <c r="C4437" s="4" t="s">
        <v>31</v>
      </c>
      <c r="D4437" s="4" t="str">
        <f>"金雅丽"</f>
        <v>金雅丽</v>
      </c>
      <c r="E4437" s="4" t="str">
        <f t="shared" si="173"/>
        <v>女</v>
      </c>
    </row>
    <row r="4438" spans="1:5" ht="30" customHeight="1">
      <c r="A4438" s="4">
        <v>4436</v>
      </c>
      <c r="B4438" s="4" t="str">
        <f>"39712022060417515989179"</f>
        <v>39712022060417515989179</v>
      </c>
      <c r="C4438" s="4" t="s">
        <v>31</v>
      </c>
      <c r="D4438" s="4" t="str">
        <f>"庞继文"</f>
        <v>庞继文</v>
      </c>
      <c r="E4438" s="4" t="str">
        <f t="shared" si="173"/>
        <v>女</v>
      </c>
    </row>
    <row r="4439" spans="1:5" ht="30" customHeight="1">
      <c r="A4439" s="4">
        <v>4437</v>
      </c>
      <c r="B4439" s="4" t="str">
        <f>"39712022060418033389185"</f>
        <v>39712022060418033389185</v>
      </c>
      <c r="C4439" s="4" t="s">
        <v>31</v>
      </c>
      <c r="D4439" s="4" t="str">
        <f>"周清月"</f>
        <v>周清月</v>
      </c>
      <c r="E4439" s="4" t="str">
        <f t="shared" si="173"/>
        <v>女</v>
      </c>
    </row>
    <row r="4440" spans="1:5" ht="30" customHeight="1">
      <c r="A4440" s="4">
        <v>4438</v>
      </c>
      <c r="B4440" s="4" t="str">
        <f>"39712022060418203089203"</f>
        <v>39712022060418203089203</v>
      </c>
      <c r="C4440" s="4" t="s">
        <v>31</v>
      </c>
      <c r="D4440" s="4" t="str">
        <f>"陈南宏"</f>
        <v>陈南宏</v>
      </c>
      <c r="E4440" s="4" t="str">
        <f>"男"</f>
        <v>男</v>
      </c>
    </row>
    <row r="4441" spans="1:5" ht="30" customHeight="1">
      <c r="A4441" s="4">
        <v>4439</v>
      </c>
      <c r="B4441" s="4" t="str">
        <f>"39712022060418394289220"</f>
        <v>39712022060418394289220</v>
      </c>
      <c r="C4441" s="4" t="s">
        <v>31</v>
      </c>
      <c r="D4441" s="4" t="str">
        <f>"石伊曼"</f>
        <v>石伊曼</v>
      </c>
      <c r="E4441" s="4" t="str">
        <f aca="true" t="shared" si="174" ref="E4441:E4455">"女"</f>
        <v>女</v>
      </c>
    </row>
    <row r="4442" spans="1:5" ht="30" customHeight="1">
      <c r="A4442" s="4">
        <v>4440</v>
      </c>
      <c r="B4442" s="4" t="str">
        <f>"39712022060419222589262"</f>
        <v>39712022060419222589262</v>
      </c>
      <c r="C4442" s="4" t="s">
        <v>31</v>
      </c>
      <c r="D4442" s="4" t="str">
        <f>"林敏瑜"</f>
        <v>林敏瑜</v>
      </c>
      <c r="E4442" s="4" t="str">
        <f t="shared" si="174"/>
        <v>女</v>
      </c>
    </row>
    <row r="4443" spans="1:5" ht="30" customHeight="1">
      <c r="A4443" s="4">
        <v>4441</v>
      </c>
      <c r="B4443" s="4" t="str">
        <f>"39712022060420192689317"</f>
        <v>39712022060420192689317</v>
      </c>
      <c r="C4443" s="4" t="s">
        <v>31</v>
      </c>
      <c r="D4443" s="4" t="str">
        <f>"王艳霞"</f>
        <v>王艳霞</v>
      </c>
      <c r="E4443" s="4" t="str">
        <f t="shared" si="174"/>
        <v>女</v>
      </c>
    </row>
    <row r="4444" spans="1:5" ht="30" customHeight="1">
      <c r="A4444" s="4">
        <v>4442</v>
      </c>
      <c r="B4444" s="4" t="str">
        <f>"39712022060420322789327"</f>
        <v>39712022060420322789327</v>
      </c>
      <c r="C4444" s="4" t="s">
        <v>31</v>
      </c>
      <c r="D4444" s="4" t="str">
        <f>"贾梦鸽"</f>
        <v>贾梦鸽</v>
      </c>
      <c r="E4444" s="4" t="str">
        <f t="shared" si="174"/>
        <v>女</v>
      </c>
    </row>
    <row r="4445" spans="1:5" ht="30" customHeight="1">
      <c r="A4445" s="4">
        <v>4443</v>
      </c>
      <c r="B4445" s="4" t="str">
        <f>"39712022060420344689333"</f>
        <v>39712022060420344689333</v>
      </c>
      <c r="C4445" s="4" t="s">
        <v>31</v>
      </c>
      <c r="D4445" s="4" t="str">
        <f>"冯茵"</f>
        <v>冯茵</v>
      </c>
      <c r="E4445" s="4" t="str">
        <f t="shared" si="174"/>
        <v>女</v>
      </c>
    </row>
    <row r="4446" spans="1:5" ht="30" customHeight="1">
      <c r="A4446" s="4">
        <v>4444</v>
      </c>
      <c r="B4446" s="4" t="str">
        <f>"39712022060420542489354"</f>
        <v>39712022060420542489354</v>
      </c>
      <c r="C4446" s="4" t="s">
        <v>31</v>
      </c>
      <c r="D4446" s="4" t="str">
        <f>"唐倩凤"</f>
        <v>唐倩凤</v>
      </c>
      <c r="E4446" s="4" t="str">
        <f t="shared" si="174"/>
        <v>女</v>
      </c>
    </row>
    <row r="4447" spans="1:5" ht="30" customHeight="1">
      <c r="A4447" s="4">
        <v>4445</v>
      </c>
      <c r="B4447" s="4" t="str">
        <f>"39712022060421005789362"</f>
        <v>39712022060421005789362</v>
      </c>
      <c r="C4447" s="4" t="s">
        <v>31</v>
      </c>
      <c r="D4447" s="4" t="str">
        <f>"李丽芳"</f>
        <v>李丽芳</v>
      </c>
      <c r="E4447" s="4" t="str">
        <f t="shared" si="174"/>
        <v>女</v>
      </c>
    </row>
    <row r="4448" spans="1:5" ht="30" customHeight="1">
      <c r="A4448" s="4">
        <v>4446</v>
      </c>
      <c r="B4448" s="4" t="str">
        <f>"39712022060500211189562"</f>
        <v>39712022060500211189562</v>
      </c>
      <c r="C4448" s="4" t="s">
        <v>31</v>
      </c>
      <c r="D4448" s="4" t="str">
        <f>"范月明"</f>
        <v>范月明</v>
      </c>
      <c r="E4448" s="4" t="str">
        <f t="shared" si="174"/>
        <v>女</v>
      </c>
    </row>
    <row r="4449" spans="1:5" ht="30" customHeight="1">
      <c r="A4449" s="4">
        <v>4447</v>
      </c>
      <c r="B4449" s="4" t="str">
        <f>"39712022060507140789580"</f>
        <v>39712022060507140789580</v>
      </c>
      <c r="C4449" s="4" t="s">
        <v>31</v>
      </c>
      <c r="D4449" s="4" t="str">
        <f>"谢小贫"</f>
        <v>谢小贫</v>
      </c>
      <c r="E4449" s="4" t="str">
        <f t="shared" si="174"/>
        <v>女</v>
      </c>
    </row>
    <row r="4450" spans="1:5" ht="30" customHeight="1">
      <c r="A4450" s="4">
        <v>4448</v>
      </c>
      <c r="B4450" s="4" t="str">
        <f>"39712022060509100189627"</f>
        <v>39712022060509100189627</v>
      </c>
      <c r="C4450" s="4" t="s">
        <v>31</v>
      </c>
      <c r="D4450" s="4" t="str">
        <f>"苏丽芳"</f>
        <v>苏丽芳</v>
      </c>
      <c r="E4450" s="4" t="str">
        <f t="shared" si="174"/>
        <v>女</v>
      </c>
    </row>
    <row r="4451" spans="1:5" ht="30" customHeight="1">
      <c r="A4451" s="4">
        <v>4449</v>
      </c>
      <c r="B4451" s="4" t="str">
        <f>"39712022060510213089769"</f>
        <v>39712022060510213089769</v>
      </c>
      <c r="C4451" s="4" t="s">
        <v>31</v>
      </c>
      <c r="D4451" s="4" t="str">
        <f>"李悦"</f>
        <v>李悦</v>
      </c>
      <c r="E4451" s="4" t="str">
        <f t="shared" si="174"/>
        <v>女</v>
      </c>
    </row>
    <row r="4452" spans="1:5" ht="30" customHeight="1">
      <c r="A4452" s="4">
        <v>4450</v>
      </c>
      <c r="B4452" s="4" t="str">
        <f>"39712022060511021489847"</f>
        <v>39712022060511021489847</v>
      </c>
      <c r="C4452" s="4" t="s">
        <v>31</v>
      </c>
      <c r="D4452" s="4" t="str">
        <f>"吴漫洪"</f>
        <v>吴漫洪</v>
      </c>
      <c r="E4452" s="4" t="str">
        <f t="shared" si="174"/>
        <v>女</v>
      </c>
    </row>
    <row r="4453" spans="1:5" ht="30" customHeight="1">
      <c r="A4453" s="4">
        <v>4451</v>
      </c>
      <c r="B4453" s="4" t="str">
        <f>"39712022060511182989873"</f>
        <v>39712022060511182989873</v>
      </c>
      <c r="C4453" s="4" t="s">
        <v>31</v>
      </c>
      <c r="D4453" s="4" t="str">
        <f>"冯爱金"</f>
        <v>冯爱金</v>
      </c>
      <c r="E4453" s="4" t="str">
        <f t="shared" si="174"/>
        <v>女</v>
      </c>
    </row>
    <row r="4454" spans="1:5" ht="30" customHeight="1">
      <c r="A4454" s="4">
        <v>4452</v>
      </c>
      <c r="B4454" s="4" t="str">
        <f>"39712022060512144989965"</f>
        <v>39712022060512144989965</v>
      </c>
      <c r="C4454" s="4" t="s">
        <v>31</v>
      </c>
      <c r="D4454" s="4" t="str">
        <f>"王玉霞"</f>
        <v>王玉霞</v>
      </c>
      <c r="E4454" s="4" t="str">
        <f t="shared" si="174"/>
        <v>女</v>
      </c>
    </row>
    <row r="4455" spans="1:5" ht="30" customHeight="1">
      <c r="A4455" s="4">
        <v>4453</v>
      </c>
      <c r="B4455" s="4" t="str">
        <f>"39712022060513235990046"</f>
        <v>39712022060513235990046</v>
      </c>
      <c r="C4455" s="4" t="s">
        <v>31</v>
      </c>
      <c r="D4455" s="4" t="str">
        <f>"陆倩莹"</f>
        <v>陆倩莹</v>
      </c>
      <c r="E4455" s="4" t="str">
        <f t="shared" si="174"/>
        <v>女</v>
      </c>
    </row>
    <row r="4456" spans="1:5" ht="30" customHeight="1">
      <c r="A4456" s="4">
        <v>4454</v>
      </c>
      <c r="B4456" s="4" t="str">
        <f>"39712022060517271490371"</f>
        <v>39712022060517271490371</v>
      </c>
      <c r="C4456" s="4" t="s">
        <v>31</v>
      </c>
      <c r="D4456" s="4" t="str">
        <f>"王亮"</f>
        <v>王亮</v>
      </c>
      <c r="E4456" s="4" t="str">
        <f>"男"</f>
        <v>男</v>
      </c>
    </row>
    <row r="4457" spans="1:5" ht="30" customHeight="1">
      <c r="A4457" s="4">
        <v>4455</v>
      </c>
      <c r="B4457" s="4" t="str">
        <f>"39712022060517293490376"</f>
        <v>39712022060517293490376</v>
      </c>
      <c r="C4457" s="4" t="s">
        <v>31</v>
      </c>
      <c r="D4457" s="4" t="str">
        <f>"彭晓婷"</f>
        <v>彭晓婷</v>
      </c>
      <c r="E4457" s="4" t="str">
        <f aca="true" t="shared" si="175" ref="E4457:E4480">"女"</f>
        <v>女</v>
      </c>
    </row>
    <row r="4458" spans="1:5" ht="30" customHeight="1">
      <c r="A4458" s="4">
        <v>4456</v>
      </c>
      <c r="B4458" s="4" t="str">
        <f>"39712022060518123590432"</f>
        <v>39712022060518123590432</v>
      </c>
      <c r="C4458" s="4" t="s">
        <v>31</v>
      </c>
      <c r="D4458" s="4" t="str">
        <f>"韦美竹"</f>
        <v>韦美竹</v>
      </c>
      <c r="E4458" s="4" t="str">
        <f t="shared" si="175"/>
        <v>女</v>
      </c>
    </row>
    <row r="4459" spans="1:5" ht="30" customHeight="1">
      <c r="A4459" s="4">
        <v>4457</v>
      </c>
      <c r="B4459" s="4" t="str">
        <f>"39712022060520100490575"</f>
        <v>39712022060520100490575</v>
      </c>
      <c r="C4459" s="4" t="s">
        <v>31</v>
      </c>
      <c r="D4459" s="4" t="str">
        <f>"蒲佳雪"</f>
        <v>蒲佳雪</v>
      </c>
      <c r="E4459" s="4" t="str">
        <f t="shared" si="175"/>
        <v>女</v>
      </c>
    </row>
    <row r="4460" spans="1:5" ht="30" customHeight="1">
      <c r="A4460" s="4">
        <v>4458</v>
      </c>
      <c r="B4460" s="4" t="str">
        <f>"39712022060520492190626"</f>
        <v>39712022060520492190626</v>
      </c>
      <c r="C4460" s="4" t="s">
        <v>31</v>
      </c>
      <c r="D4460" s="4" t="str">
        <f>"吴庭娜"</f>
        <v>吴庭娜</v>
      </c>
      <c r="E4460" s="4" t="str">
        <f t="shared" si="175"/>
        <v>女</v>
      </c>
    </row>
    <row r="4461" spans="1:5" ht="30" customHeight="1">
      <c r="A4461" s="4">
        <v>4459</v>
      </c>
      <c r="B4461" s="4" t="str">
        <f>"39712022060521064590653"</f>
        <v>39712022060521064590653</v>
      </c>
      <c r="C4461" s="4" t="s">
        <v>31</v>
      </c>
      <c r="D4461" s="4" t="str">
        <f>"黄慧"</f>
        <v>黄慧</v>
      </c>
      <c r="E4461" s="4" t="str">
        <f t="shared" si="175"/>
        <v>女</v>
      </c>
    </row>
    <row r="4462" spans="1:5" ht="30" customHeight="1">
      <c r="A4462" s="4">
        <v>4460</v>
      </c>
      <c r="B4462" s="4" t="str">
        <f>"39712022060522143290834"</f>
        <v>39712022060522143290834</v>
      </c>
      <c r="C4462" s="4" t="s">
        <v>31</v>
      </c>
      <c r="D4462" s="4" t="str">
        <f>"曾红"</f>
        <v>曾红</v>
      </c>
      <c r="E4462" s="4" t="str">
        <f t="shared" si="175"/>
        <v>女</v>
      </c>
    </row>
    <row r="4463" spans="1:5" ht="30" customHeight="1">
      <c r="A4463" s="4">
        <v>4461</v>
      </c>
      <c r="B4463" s="4" t="str">
        <f>"39712022060522204890845"</f>
        <v>39712022060522204890845</v>
      </c>
      <c r="C4463" s="4" t="s">
        <v>31</v>
      </c>
      <c r="D4463" s="4" t="str">
        <f>"沈彩梦"</f>
        <v>沈彩梦</v>
      </c>
      <c r="E4463" s="4" t="str">
        <f t="shared" si="175"/>
        <v>女</v>
      </c>
    </row>
    <row r="4464" spans="1:5" ht="30" customHeight="1">
      <c r="A4464" s="4">
        <v>4462</v>
      </c>
      <c r="B4464" s="4" t="str">
        <f>"39712022060523152490936"</f>
        <v>39712022060523152490936</v>
      </c>
      <c r="C4464" s="4" t="s">
        <v>31</v>
      </c>
      <c r="D4464" s="4" t="str">
        <f>"刘静"</f>
        <v>刘静</v>
      </c>
      <c r="E4464" s="4" t="str">
        <f t="shared" si="175"/>
        <v>女</v>
      </c>
    </row>
    <row r="4465" spans="1:5" ht="30" customHeight="1">
      <c r="A4465" s="4">
        <v>4463</v>
      </c>
      <c r="B4465" s="4" t="str">
        <f>"39712022060608131391076"</f>
        <v>39712022060608131391076</v>
      </c>
      <c r="C4465" s="4" t="s">
        <v>31</v>
      </c>
      <c r="D4465" s="4" t="str">
        <f>"蔡庆祝"</f>
        <v>蔡庆祝</v>
      </c>
      <c r="E4465" s="4" t="str">
        <f t="shared" si="175"/>
        <v>女</v>
      </c>
    </row>
    <row r="4466" spans="1:5" ht="30" customHeight="1">
      <c r="A4466" s="4">
        <v>4464</v>
      </c>
      <c r="B4466" s="4" t="str">
        <f>"39712022060608422291130"</f>
        <v>39712022060608422291130</v>
      </c>
      <c r="C4466" s="4" t="s">
        <v>31</v>
      </c>
      <c r="D4466" s="4" t="str">
        <f>"郑斌云"</f>
        <v>郑斌云</v>
      </c>
      <c r="E4466" s="4" t="str">
        <f t="shared" si="175"/>
        <v>女</v>
      </c>
    </row>
    <row r="4467" spans="1:5" ht="30" customHeight="1">
      <c r="A4467" s="4">
        <v>4465</v>
      </c>
      <c r="B4467" s="4" t="str">
        <f>"39712022060608514691154"</f>
        <v>39712022060608514691154</v>
      </c>
      <c r="C4467" s="4" t="s">
        <v>31</v>
      </c>
      <c r="D4467" s="4" t="str">
        <f>"吴蕾"</f>
        <v>吴蕾</v>
      </c>
      <c r="E4467" s="4" t="str">
        <f t="shared" si="175"/>
        <v>女</v>
      </c>
    </row>
    <row r="4468" spans="1:5" ht="30" customHeight="1">
      <c r="A4468" s="4">
        <v>4466</v>
      </c>
      <c r="B4468" s="4" t="str">
        <f>"39712022060608584491168"</f>
        <v>39712022060608584491168</v>
      </c>
      <c r="C4468" s="4" t="s">
        <v>31</v>
      </c>
      <c r="D4468" s="4" t="str">
        <f>"黄晶晶"</f>
        <v>黄晶晶</v>
      </c>
      <c r="E4468" s="4" t="str">
        <f t="shared" si="175"/>
        <v>女</v>
      </c>
    </row>
    <row r="4469" spans="1:5" ht="30" customHeight="1">
      <c r="A4469" s="4">
        <v>4467</v>
      </c>
      <c r="B4469" s="4" t="str">
        <f>"39712022060610295193922"</f>
        <v>39712022060610295193922</v>
      </c>
      <c r="C4469" s="4" t="s">
        <v>31</v>
      </c>
      <c r="D4469" s="4" t="str">
        <f>"潘春萍"</f>
        <v>潘春萍</v>
      </c>
      <c r="E4469" s="4" t="str">
        <f t="shared" si="175"/>
        <v>女</v>
      </c>
    </row>
    <row r="4470" spans="1:5" ht="30" customHeight="1">
      <c r="A4470" s="4">
        <v>4468</v>
      </c>
      <c r="B4470" s="4" t="str">
        <f>"39712022060610310593957"</f>
        <v>39712022060610310593957</v>
      </c>
      <c r="C4470" s="4" t="s">
        <v>31</v>
      </c>
      <c r="D4470" s="4" t="str">
        <f>"王汝芬"</f>
        <v>王汝芬</v>
      </c>
      <c r="E4470" s="4" t="str">
        <f t="shared" si="175"/>
        <v>女</v>
      </c>
    </row>
    <row r="4471" spans="1:5" ht="30" customHeight="1">
      <c r="A4471" s="4">
        <v>4469</v>
      </c>
      <c r="B4471" s="4" t="str">
        <f>"39712022060610342294032"</f>
        <v>39712022060610342294032</v>
      </c>
      <c r="C4471" s="4" t="s">
        <v>31</v>
      </c>
      <c r="D4471" s="4" t="str">
        <f>"陈娜珠"</f>
        <v>陈娜珠</v>
      </c>
      <c r="E4471" s="4" t="str">
        <f t="shared" si="175"/>
        <v>女</v>
      </c>
    </row>
    <row r="4472" spans="1:5" ht="30" customHeight="1">
      <c r="A4472" s="4">
        <v>4470</v>
      </c>
      <c r="B4472" s="4" t="str">
        <f>"39712022060610494294377"</f>
        <v>39712022060610494294377</v>
      </c>
      <c r="C4472" s="4" t="s">
        <v>31</v>
      </c>
      <c r="D4472" s="4" t="str">
        <f>"何潮潮"</f>
        <v>何潮潮</v>
      </c>
      <c r="E4472" s="4" t="str">
        <f t="shared" si="175"/>
        <v>女</v>
      </c>
    </row>
    <row r="4473" spans="1:5" ht="30" customHeight="1">
      <c r="A4473" s="4">
        <v>4471</v>
      </c>
      <c r="B4473" s="4" t="str">
        <f>"39712022060610593694600"</f>
        <v>39712022060610593694600</v>
      </c>
      <c r="C4473" s="4" t="s">
        <v>31</v>
      </c>
      <c r="D4473" s="4" t="str">
        <f>"朱小会"</f>
        <v>朱小会</v>
      </c>
      <c r="E4473" s="4" t="str">
        <f t="shared" si="175"/>
        <v>女</v>
      </c>
    </row>
    <row r="4474" spans="1:5" ht="30" customHeight="1">
      <c r="A4474" s="4">
        <v>4472</v>
      </c>
      <c r="B4474" s="4" t="str">
        <f>"39712022060611340795228"</f>
        <v>39712022060611340795228</v>
      </c>
      <c r="C4474" s="4" t="s">
        <v>31</v>
      </c>
      <c r="D4474" s="4" t="str">
        <f>"王乙芳"</f>
        <v>王乙芳</v>
      </c>
      <c r="E4474" s="4" t="str">
        <f t="shared" si="175"/>
        <v>女</v>
      </c>
    </row>
    <row r="4475" spans="1:5" ht="30" customHeight="1">
      <c r="A4475" s="4">
        <v>4473</v>
      </c>
      <c r="B4475" s="4" t="str">
        <f>"39712022060611375295305"</f>
        <v>39712022060611375295305</v>
      </c>
      <c r="C4475" s="4" t="s">
        <v>31</v>
      </c>
      <c r="D4475" s="4" t="str">
        <f>"王芳惠子"</f>
        <v>王芳惠子</v>
      </c>
      <c r="E4475" s="4" t="str">
        <f t="shared" si="175"/>
        <v>女</v>
      </c>
    </row>
    <row r="4476" spans="1:5" ht="30" customHeight="1">
      <c r="A4476" s="4">
        <v>4474</v>
      </c>
      <c r="B4476" s="4" t="str">
        <f>"39712022060611584595623"</f>
        <v>39712022060611584595623</v>
      </c>
      <c r="C4476" s="4" t="s">
        <v>31</v>
      </c>
      <c r="D4476" s="4" t="str">
        <f>"陈文娟"</f>
        <v>陈文娟</v>
      </c>
      <c r="E4476" s="4" t="str">
        <f t="shared" si="175"/>
        <v>女</v>
      </c>
    </row>
    <row r="4477" spans="1:5" ht="30" customHeight="1">
      <c r="A4477" s="4">
        <v>4475</v>
      </c>
      <c r="B4477" s="4" t="str">
        <f>"39712022060612384996112"</f>
        <v>39712022060612384996112</v>
      </c>
      <c r="C4477" s="4" t="s">
        <v>31</v>
      </c>
      <c r="D4477" s="4" t="str">
        <f>"王静"</f>
        <v>王静</v>
      </c>
      <c r="E4477" s="4" t="str">
        <f t="shared" si="175"/>
        <v>女</v>
      </c>
    </row>
    <row r="4478" spans="1:5" ht="30" customHeight="1">
      <c r="A4478" s="4">
        <v>4476</v>
      </c>
      <c r="B4478" s="4" t="str">
        <f>"39712022060612405796136"</f>
        <v>39712022060612405796136</v>
      </c>
      <c r="C4478" s="4" t="s">
        <v>31</v>
      </c>
      <c r="D4478" s="4" t="str">
        <f>"石颖婕"</f>
        <v>石颖婕</v>
      </c>
      <c r="E4478" s="4" t="str">
        <f t="shared" si="175"/>
        <v>女</v>
      </c>
    </row>
    <row r="4479" spans="1:5" ht="30" customHeight="1">
      <c r="A4479" s="4">
        <v>4477</v>
      </c>
      <c r="B4479" s="4" t="str">
        <f>"39712022060612573596313"</f>
        <v>39712022060612573596313</v>
      </c>
      <c r="C4479" s="4" t="s">
        <v>31</v>
      </c>
      <c r="D4479" s="4" t="str">
        <f>"邓莎"</f>
        <v>邓莎</v>
      </c>
      <c r="E4479" s="4" t="str">
        <f t="shared" si="175"/>
        <v>女</v>
      </c>
    </row>
    <row r="4480" spans="1:5" ht="30" customHeight="1">
      <c r="A4480" s="4">
        <v>4478</v>
      </c>
      <c r="B4480" s="4" t="str">
        <f>"39712022060613194996528"</f>
        <v>39712022060613194996528</v>
      </c>
      <c r="C4480" s="4" t="s">
        <v>31</v>
      </c>
      <c r="D4480" s="4" t="str">
        <f>"叶江岚"</f>
        <v>叶江岚</v>
      </c>
      <c r="E4480" s="4" t="str">
        <f t="shared" si="175"/>
        <v>女</v>
      </c>
    </row>
    <row r="4481" spans="1:5" ht="30" customHeight="1">
      <c r="A4481" s="4">
        <v>4479</v>
      </c>
      <c r="B4481" s="4" t="str">
        <f>"39712022060613272496585"</f>
        <v>39712022060613272496585</v>
      </c>
      <c r="C4481" s="4" t="s">
        <v>31</v>
      </c>
      <c r="D4481" s="4" t="str">
        <f>"尤今"</f>
        <v>尤今</v>
      </c>
      <c r="E4481" s="4" t="str">
        <f>"男"</f>
        <v>男</v>
      </c>
    </row>
    <row r="4482" spans="1:5" ht="30" customHeight="1">
      <c r="A4482" s="4">
        <v>4480</v>
      </c>
      <c r="B4482" s="4" t="str">
        <f>"39712022060614442397282"</f>
        <v>39712022060614442397282</v>
      </c>
      <c r="C4482" s="4" t="s">
        <v>31</v>
      </c>
      <c r="D4482" s="4" t="str">
        <f>"林子靖"</f>
        <v>林子靖</v>
      </c>
      <c r="E4482" s="4" t="str">
        <f aca="true" t="shared" si="176" ref="E4482:E4519">"女"</f>
        <v>女</v>
      </c>
    </row>
    <row r="4483" spans="1:5" ht="30" customHeight="1">
      <c r="A4483" s="4">
        <v>4481</v>
      </c>
      <c r="B4483" s="4" t="str">
        <f>"39712022060615170197726"</f>
        <v>39712022060615170197726</v>
      </c>
      <c r="C4483" s="4" t="s">
        <v>31</v>
      </c>
      <c r="D4483" s="4" t="str">
        <f>"彭露"</f>
        <v>彭露</v>
      </c>
      <c r="E4483" s="4" t="str">
        <f t="shared" si="176"/>
        <v>女</v>
      </c>
    </row>
    <row r="4484" spans="1:5" ht="30" customHeight="1">
      <c r="A4484" s="4">
        <v>4482</v>
      </c>
      <c r="B4484" s="4" t="str">
        <f>"39712022060615435098083"</f>
        <v>39712022060615435098083</v>
      </c>
      <c r="C4484" s="4" t="s">
        <v>31</v>
      </c>
      <c r="D4484" s="4" t="str">
        <f>"林超"</f>
        <v>林超</v>
      </c>
      <c r="E4484" s="4" t="str">
        <f t="shared" si="176"/>
        <v>女</v>
      </c>
    </row>
    <row r="4485" spans="1:5" ht="30" customHeight="1">
      <c r="A4485" s="4">
        <v>4483</v>
      </c>
      <c r="B4485" s="4" t="str">
        <f>"39712022060615574598289"</f>
        <v>39712022060615574598289</v>
      </c>
      <c r="C4485" s="4" t="s">
        <v>31</v>
      </c>
      <c r="D4485" s="4" t="str">
        <f>"陈咪咪"</f>
        <v>陈咪咪</v>
      </c>
      <c r="E4485" s="4" t="str">
        <f t="shared" si="176"/>
        <v>女</v>
      </c>
    </row>
    <row r="4486" spans="1:5" ht="30" customHeight="1">
      <c r="A4486" s="4">
        <v>4484</v>
      </c>
      <c r="B4486" s="4" t="str">
        <f>"39712022060616014798342"</f>
        <v>39712022060616014798342</v>
      </c>
      <c r="C4486" s="4" t="s">
        <v>31</v>
      </c>
      <c r="D4486" s="4" t="str">
        <f>"黄子丹"</f>
        <v>黄子丹</v>
      </c>
      <c r="E4486" s="4" t="str">
        <f t="shared" si="176"/>
        <v>女</v>
      </c>
    </row>
    <row r="4487" spans="1:5" ht="30" customHeight="1">
      <c r="A4487" s="4">
        <v>4485</v>
      </c>
      <c r="B4487" s="4" t="str">
        <f>"39712022060616145198528"</f>
        <v>39712022060616145198528</v>
      </c>
      <c r="C4487" s="4" t="s">
        <v>31</v>
      </c>
      <c r="D4487" s="4" t="str">
        <f>"韦选金"</f>
        <v>韦选金</v>
      </c>
      <c r="E4487" s="4" t="str">
        <f t="shared" si="176"/>
        <v>女</v>
      </c>
    </row>
    <row r="4488" spans="1:5" ht="30" customHeight="1">
      <c r="A4488" s="4">
        <v>4486</v>
      </c>
      <c r="B4488" s="4" t="str">
        <f>"39712022060616165498547"</f>
        <v>39712022060616165498547</v>
      </c>
      <c r="C4488" s="4" t="s">
        <v>31</v>
      </c>
      <c r="D4488" s="4" t="str">
        <f>"黄子慧"</f>
        <v>黄子慧</v>
      </c>
      <c r="E4488" s="4" t="str">
        <f t="shared" si="176"/>
        <v>女</v>
      </c>
    </row>
    <row r="4489" spans="1:5" ht="30" customHeight="1">
      <c r="A4489" s="4">
        <v>4487</v>
      </c>
      <c r="B4489" s="4" t="str">
        <f>"39712022060616411198855"</f>
        <v>39712022060616411198855</v>
      </c>
      <c r="C4489" s="4" t="s">
        <v>31</v>
      </c>
      <c r="D4489" s="4" t="str">
        <f>"曾娜"</f>
        <v>曾娜</v>
      </c>
      <c r="E4489" s="4" t="str">
        <f t="shared" si="176"/>
        <v>女</v>
      </c>
    </row>
    <row r="4490" spans="1:5" ht="30" customHeight="1">
      <c r="A4490" s="4">
        <v>4488</v>
      </c>
      <c r="B4490" s="4" t="str">
        <f>"39712022060616450098910"</f>
        <v>39712022060616450098910</v>
      </c>
      <c r="C4490" s="4" t="s">
        <v>31</v>
      </c>
      <c r="D4490" s="4" t="str">
        <f>"莫春梅"</f>
        <v>莫春梅</v>
      </c>
      <c r="E4490" s="4" t="str">
        <f t="shared" si="176"/>
        <v>女</v>
      </c>
    </row>
    <row r="4491" spans="1:5" ht="30" customHeight="1">
      <c r="A4491" s="4">
        <v>4489</v>
      </c>
      <c r="B4491" s="4" t="str">
        <f>"39712022060616511998987"</f>
        <v>39712022060616511998987</v>
      </c>
      <c r="C4491" s="4" t="s">
        <v>31</v>
      </c>
      <c r="D4491" s="4" t="str">
        <f>"彭焱金"</f>
        <v>彭焱金</v>
      </c>
      <c r="E4491" s="4" t="str">
        <f t="shared" si="176"/>
        <v>女</v>
      </c>
    </row>
    <row r="4492" spans="1:5" ht="30" customHeight="1">
      <c r="A4492" s="4">
        <v>4490</v>
      </c>
      <c r="B4492" s="4" t="str">
        <f>"39712022060616571199055"</f>
        <v>39712022060616571199055</v>
      </c>
      <c r="C4492" s="4" t="s">
        <v>31</v>
      </c>
      <c r="D4492" s="4" t="str">
        <f>"黄妮旅"</f>
        <v>黄妮旅</v>
      </c>
      <c r="E4492" s="4" t="str">
        <f t="shared" si="176"/>
        <v>女</v>
      </c>
    </row>
    <row r="4493" spans="1:5" ht="30" customHeight="1">
      <c r="A4493" s="4">
        <v>4491</v>
      </c>
      <c r="B4493" s="4" t="str">
        <f>"39712022060617010199099"</f>
        <v>39712022060617010199099</v>
      </c>
      <c r="C4493" s="4" t="s">
        <v>31</v>
      </c>
      <c r="D4493" s="4" t="str">
        <f>"邓亚楠"</f>
        <v>邓亚楠</v>
      </c>
      <c r="E4493" s="4" t="str">
        <f t="shared" si="176"/>
        <v>女</v>
      </c>
    </row>
    <row r="4494" spans="1:5" ht="30" customHeight="1">
      <c r="A4494" s="4">
        <v>4492</v>
      </c>
      <c r="B4494" s="4" t="str">
        <f>"39712022060617261499360"</f>
        <v>39712022060617261499360</v>
      </c>
      <c r="C4494" s="4" t="s">
        <v>31</v>
      </c>
      <c r="D4494" s="4" t="str">
        <f>"李向"</f>
        <v>李向</v>
      </c>
      <c r="E4494" s="4" t="str">
        <f t="shared" si="176"/>
        <v>女</v>
      </c>
    </row>
    <row r="4495" spans="1:5" ht="30" customHeight="1">
      <c r="A4495" s="4">
        <v>4493</v>
      </c>
      <c r="B4495" s="4" t="str">
        <f>"39712022060617343599440"</f>
        <v>39712022060617343599440</v>
      </c>
      <c r="C4495" s="4" t="s">
        <v>31</v>
      </c>
      <c r="D4495" s="4" t="str">
        <f>"关凯尹"</f>
        <v>关凯尹</v>
      </c>
      <c r="E4495" s="4" t="str">
        <f t="shared" si="176"/>
        <v>女</v>
      </c>
    </row>
    <row r="4496" spans="1:5" ht="30" customHeight="1">
      <c r="A4496" s="4">
        <v>4494</v>
      </c>
      <c r="B4496" s="4" t="str">
        <f>"39712022060617452999538"</f>
        <v>39712022060617452999538</v>
      </c>
      <c r="C4496" s="4" t="s">
        <v>31</v>
      </c>
      <c r="D4496" s="4" t="str">
        <f>"郑奕"</f>
        <v>郑奕</v>
      </c>
      <c r="E4496" s="4" t="str">
        <f t="shared" si="176"/>
        <v>女</v>
      </c>
    </row>
    <row r="4497" spans="1:5" ht="30" customHeight="1">
      <c r="A4497" s="4">
        <v>4495</v>
      </c>
      <c r="B4497" s="4" t="str">
        <f>"397120220606201451100773"</f>
        <v>397120220606201451100773</v>
      </c>
      <c r="C4497" s="4" t="s">
        <v>31</v>
      </c>
      <c r="D4497" s="4" t="str">
        <f>"陈晓梦"</f>
        <v>陈晓梦</v>
      </c>
      <c r="E4497" s="4" t="str">
        <f t="shared" si="176"/>
        <v>女</v>
      </c>
    </row>
    <row r="4498" spans="1:5" ht="30" customHeight="1">
      <c r="A4498" s="4">
        <v>4496</v>
      </c>
      <c r="B4498" s="4" t="str">
        <f>"397120220606201525100777"</f>
        <v>397120220606201525100777</v>
      </c>
      <c r="C4498" s="4" t="s">
        <v>31</v>
      </c>
      <c r="D4498" s="4" t="str">
        <f>"邓红梅"</f>
        <v>邓红梅</v>
      </c>
      <c r="E4498" s="4" t="str">
        <f t="shared" si="176"/>
        <v>女</v>
      </c>
    </row>
    <row r="4499" spans="1:5" ht="30" customHeight="1">
      <c r="A4499" s="4">
        <v>4497</v>
      </c>
      <c r="B4499" s="4" t="str">
        <f>"397120220606204928101059"</f>
        <v>397120220606204928101059</v>
      </c>
      <c r="C4499" s="4" t="s">
        <v>31</v>
      </c>
      <c r="D4499" s="4" t="str">
        <f>"简美娥"</f>
        <v>简美娥</v>
      </c>
      <c r="E4499" s="4" t="str">
        <f t="shared" si="176"/>
        <v>女</v>
      </c>
    </row>
    <row r="4500" spans="1:5" ht="30" customHeight="1">
      <c r="A4500" s="4">
        <v>4498</v>
      </c>
      <c r="B4500" s="4" t="str">
        <f>"397120220606212214101329"</f>
        <v>397120220606212214101329</v>
      </c>
      <c r="C4500" s="4" t="s">
        <v>31</v>
      </c>
      <c r="D4500" s="4" t="str">
        <f>"丁梦珍"</f>
        <v>丁梦珍</v>
      </c>
      <c r="E4500" s="4" t="str">
        <f t="shared" si="176"/>
        <v>女</v>
      </c>
    </row>
    <row r="4501" spans="1:5" ht="30" customHeight="1">
      <c r="A4501" s="4">
        <v>4499</v>
      </c>
      <c r="B4501" s="4" t="str">
        <f>"397120220606214750101546"</f>
        <v>397120220606214750101546</v>
      </c>
      <c r="C4501" s="4" t="s">
        <v>31</v>
      </c>
      <c r="D4501" s="4" t="str">
        <f>"柳少敏"</f>
        <v>柳少敏</v>
      </c>
      <c r="E4501" s="4" t="str">
        <f t="shared" si="176"/>
        <v>女</v>
      </c>
    </row>
    <row r="4502" spans="1:5" ht="30" customHeight="1">
      <c r="A4502" s="4">
        <v>4500</v>
      </c>
      <c r="B4502" s="4" t="str">
        <f>"397120220606215836101645"</f>
        <v>397120220606215836101645</v>
      </c>
      <c r="C4502" s="4" t="s">
        <v>31</v>
      </c>
      <c r="D4502" s="4" t="str">
        <f>"徐晴"</f>
        <v>徐晴</v>
      </c>
      <c r="E4502" s="4" t="str">
        <f t="shared" si="176"/>
        <v>女</v>
      </c>
    </row>
    <row r="4503" spans="1:5" ht="30" customHeight="1">
      <c r="A4503" s="4">
        <v>4501</v>
      </c>
      <c r="B4503" s="4" t="str">
        <f>"397120220606220346101706"</f>
        <v>397120220606220346101706</v>
      </c>
      <c r="C4503" s="4" t="s">
        <v>31</v>
      </c>
      <c r="D4503" s="4" t="str">
        <f>"林壹茹"</f>
        <v>林壹茹</v>
      </c>
      <c r="E4503" s="4" t="str">
        <f t="shared" si="176"/>
        <v>女</v>
      </c>
    </row>
    <row r="4504" spans="1:5" ht="30" customHeight="1">
      <c r="A4504" s="4">
        <v>4502</v>
      </c>
      <c r="B4504" s="4" t="str">
        <f>"397120220607003955102469"</f>
        <v>397120220607003955102469</v>
      </c>
      <c r="C4504" s="4" t="s">
        <v>31</v>
      </c>
      <c r="D4504" s="4" t="str">
        <f>"林师"</f>
        <v>林师</v>
      </c>
      <c r="E4504" s="4" t="str">
        <f t="shared" si="176"/>
        <v>女</v>
      </c>
    </row>
    <row r="4505" spans="1:5" ht="30" customHeight="1">
      <c r="A4505" s="4">
        <v>4503</v>
      </c>
      <c r="B4505" s="4" t="str">
        <f>"397120220607053407102554"</f>
        <v>397120220607053407102554</v>
      </c>
      <c r="C4505" s="4" t="s">
        <v>31</v>
      </c>
      <c r="D4505" s="4" t="str">
        <f>"林诗莉"</f>
        <v>林诗莉</v>
      </c>
      <c r="E4505" s="4" t="str">
        <f t="shared" si="176"/>
        <v>女</v>
      </c>
    </row>
    <row r="4506" spans="1:5" ht="30" customHeight="1">
      <c r="A4506" s="4">
        <v>4504</v>
      </c>
      <c r="B4506" s="4" t="str">
        <f>"397120220607094604103784"</f>
        <v>397120220607094604103784</v>
      </c>
      <c r="C4506" s="4" t="s">
        <v>31</v>
      </c>
      <c r="D4506" s="4" t="str">
        <f>"熊秋红"</f>
        <v>熊秋红</v>
      </c>
      <c r="E4506" s="4" t="str">
        <f t="shared" si="176"/>
        <v>女</v>
      </c>
    </row>
    <row r="4507" spans="1:5" ht="30" customHeight="1">
      <c r="A4507" s="4">
        <v>4505</v>
      </c>
      <c r="B4507" s="4" t="str">
        <f>"397120220607110348104854"</f>
        <v>397120220607110348104854</v>
      </c>
      <c r="C4507" s="4" t="s">
        <v>31</v>
      </c>
      <c r="D4507" s="4" t="str">
        <f>"罗碧璇"</f>
        <v>罗碧璇</v>
      </c>
      <c r="E4507" s="4" t="str">
        <f t="shared" si="176"/>
        <v>女</v>
      </c>
    </row>
    <row r="4508" spans="1:5" ht="30" customHeight="1">
      <c r="A4508" s="4">
        <v>4506</v>
      </c>
      <c r="B4508" s="4" t="str">
        <f>"397120220607113113105153"</f>
        <v>397120220607113113105153</v>
      </c>
      <c r="C4508" s="4" t="s">
        <v>31</v>
      </c>
      <c r="D4508" s="4" t="str">
        <f>"翁美玉"</f>
        <v>翁美玉</v>
      </c>
      <c r="E4508" s="4" t="str">
        <f t="shared" si="176"/>
        <v>女</v>
      </c>
    </row>
    <row r="4509" spans="1:5" ht="30" customHeight="1">
      <c r="A4509" s="4">
        <v>4507</v>
      </c>
      <c r="B4509" s="4" t="str">
        <f>"397120220607124210105764"</f>
        <v>397120220607124210105764</v>
      </c>
      <c r="C4509" s="4" t="s">
        <v>31</v>
      </c>
      <c r="D4509" s="4" t="str">
        <f>"李丹妮"</f>
        <v>李丹妮</v>
      </c>
      <c r="E4509" s="4" t="str">
        <f t="shared" si="176"/>
        <v>女</v>
      </c>
    </row>
    <row r="4510" spans="1:5" ht="30" customHeight="1">
      <c r="A4510" s="4">
        <v>4508</v>
      </c>
      <c r="B4510" s="4" t="str">
        <f>"397120220607125517105855"</f>
        <v>397120220607125517105855</v>
      </c>
      <c r="C4510" s="4" t="s">
        <v>31</v>
      </c>
      <c r="D4510" s="4" t="str">
        <f>"陈奎羚"</f>
        <v>陈奎羚</v>
      </c>
      <c r="E4510" s="4" t="str">
        <f t="shared" si="176"/>
        <v>女</v>
      </c>
    </row>
    <row r="4511" spans="1:5" ht="30" customHeight="1">
      <c r="A4511" s="4">
        <v>4509</v>
      </c>
      <c r="B4511" s="4" t="str">
        <f>"397120220607125709105872"</f>
        <v>397120220607125709105872</v>
      </c>
      <c r="C4511" s="4" t="s">
        <v>31</v>
      </c>
      <c r="D4511" s="4" t="str">
        <f>"林观华"</f>
        <v>林观华</v>
      </c>
      <c r="E4511" s="4" t="str">
        <f t="shared" si="176"/>
        <v>女</v>
      </c>
    </row>
    <row r="4512" spans="1:5" ht="30" customHeight="1">
      <c r="A4512" s="4">
        <v>4510</v>
      </c>
      <c r="B4512" s="4" t="str">
        <f>"397120220607141649106397"</f>
        <v>397120220607141649106397</v>
      </c>
      <c r="C4512" s="4" t="s">
        <v>31</v>
      </c>
      <c r="D4512" s="4" t="str">
        <f>"吴娜娜"</f>
        <v>吴娜娜</v>
      </c>
      <c r="E4512" s="4" t="str">
        <f t="shared" si="176"/>
        <v>女</v>
      </c>
    </row>
    <row r="4513" spans="1:5" ht="30" customHeight="1">
      <c r="A4513" s="4">
        <v>4511</v>
      </c>
      <c r="B4513" s="4" t="str">
        <f>"397120220607171457108111"</f>
        <v>397120220607171457108111</v>
      </c>
      <c r="C4513" s="4" t="s">
        <v>31</v>
      </c>
      <c r="D4513" s="4" t="str">
        <f>"程凌燕"</f>
        <v>程凌燕</v>
      </c>
      <c r="E4513" s="4" t="str">
        <f t="shared" si="176"/>
        <v>女</v>
      </c>
    </row>
    <row r="4514" spans="1:5" ht="30" customHeight="1">
      <c r="A4514" s="4">
        <v>4512</v>
      </c>
      <c r="B4514" s="4" t="str">
        <f>"397120220607175920108470"</f>
        <v>397120220607175920108470</v>
      </c>
      <c r="C4514" s="4" t="s">
        <v>31</v>
      </c>
      <c r="D4514" s="4" t="str">
        <f>"韩仪"</f>
        <v>韩仪</v>
      </c>
      <c r="E4514" s="4" t="str">
        <f t="shared" si="176"/>
        <v>女</v>
      </c>
    </row>
    <row r="4515" spans="1:5" ht="30" customHeight="1">
      <c r="A4515" s="4">
        <v>4513</v>
      </c>
      <c r="B4515" s="4" t="str">
        <f>"397120220607182842108659"</f>
        <v>397120220607182842108659</v>
      </c>
      <c r="C4515" s="4" t="s">
        <v>31</v>
      </c>
      <c r="D4515" s="4" t="str">
        <f>"邹文婷"</f>
        <v>邹文婷</v>
      </c>
      <c r="E4515" s="4" t="str">
        <f t="shared" si="176"/>
        <v>女</v>
      </c>
    </row>
    <row r="4516" spans="1:5" ht="30" customHeight="1">
      <c r="A4516" s="4">
        <v>4514</v>
      </c>
      <c r="B4516" s="4" t="str">
        <f>"397120220607193933109070"</f>
        <v>397120220607193933109070</v>
      </c>
      <c r="C4516" s="4" t="s">
        <v>31</v>
      </c>
      <c r="D4516" s="4" t="str">
        <f>"林巧"</f>
        <v>林巧</v>
      </c>
      <c r="E4516" s="4" t="str">
        <f t="shared" si="176"/>
        <v>女</v>
      </c>
    </row>
    <row r="4517" spans="1:5" ht="30" customHeight="1">
      <c r="A4517" s="4">
        <v>4515</v>
      </c>
      <c r="B4517" s="4" t="str">
        <f>"397120220607194647109119"</f>
        <v>397120220607194647109119</v>
      </c>
      <c r="C4517" s="4" t="s">
        <v>31</v>
      </c>
      <c r="D4517" s="4" t="str">
        <f>"李芳"</f>
        <v>李芳</v>
      </c>
      <c r="E4517" s="4" t="str">
        <f t="shared" si="176"/>
        <v>女</v>
      </c>
    </row>
    <row r="4518" spans="1:5" ht="30" customHeight="1">
      <c r="A4518" s="4">
        <v>4516</v>
      </c>
      <c r="B4518" s="4" t="str">
        <f>"397120220607202815109354"</f>
        <v>397120220607202815109354</v>
      </c>
      <c r="C4518" s="4" t="s">
        <v>31</v>
      </c>
      <c r="D4518" s="4" t="str">
        <f>"张冰颖"</f>
        <v>张冰颖</v>
      </c>
      <c r="E4518" s="4" t="str">
        <f t="shared" si="176"/>
        <v>女</v>
      </c>
    </row>
    <row r="4519" spans="1:5" ht="30" customHeight="1">
      <c r="A4519" s="4">
        <v>4517</v>
      </c>
      <c r="B4519" s="4" t="str">
        <f>"397120220607210142109595"</f>
        <v>397120220607210142109595</v>
      </c>
      <c r="C4519" s="4" t="s">
        <v>31</v>
      </c>
      <c r="D4519" s="4" t="str">
        <f>"林晓瑜"</f>
        <v>林晓瑜</v>
      </c>
      <c r="E4519" s="4" t="str">
        <f t="shared" si="176"/>
        <v>女</v>
      </c>
    </row>
    <row r="4520" spans="1:5" ht="30" customHeight="1">
      <c r="A4520" s="4">
        <v>4518</v>
      </c>
      <c r="B4520" s="4" t="str">
        <f>"397120220607210224109604"</f>
        <v>397120220607210224109604</v>
      </c>
      <c r="C4520" s="4" t="s">
        <v>31</v>
      </c>
      <c r="D4520" s="4" t="str">
        <f>"胡宏伟"</f>
        <v>胡宏伟</v>
      </c>
      <c r="E4520" s="4" t="str">
        <f>"男"</f>
        <v>男</v>
      </c>
    </row>
    <row r="4521" spans="1:5" ht="30" customHeight="1">
      <c r="A4521" s="4">
        <v>4519</v>
      </c>
      <c r="B4521" s="4" t="str">
        <f>"397120220607210711109646"</f>
        <v>397120220607210711109646</v>
      </c>
      <c r="C4521" s="4" t="s">
        <v>31</v>
      </c>
      <c r="D4521" s="4" t="str">
        <f>"王玉玲"</f>
        <v>王玉玲</v>
      </c>
      <c r="E4521" s="4" t="str">
        <f>"女"</f>
        <v>女</v>
      </c>
    </row>
    <row r="4522" spans="1:5" ht="30" customHeight="1">
      <c r="A4522" s="4">
        <v>4520</v>
      </c>
      <c r="B4522" s="4" t="str">
        <f>"397120220607211400109701"</f>
        <v>397120220607211400109701</v>
      </c>
      <c r="C4522" s="4" t="s">
        <v>31</v>
      </c>
      <c r="D4522" s="4" t="str">
        <f>"陈少玲"</f>
        <v>陈少玲</v>
      </c>
      <c r="E4522" s="4" t="str">
        <f>"女"</f>
        <v>女</v>
      </c>
    </row>
    <row r="4523" spans="1:5" ht="30" customHeight="1">
      <c r="A4523" s="4">
        <v>4521</v>
      </c>
      <c r="B4523" s="4" t="str">
        <f>"397120220607211623109728"</f>
        <v>397120220607211623109728</v>
      </c>
      <c r="C4523" s="4" t="s">
        <v>31</v>
      </c>
      <c r="D4523" s="4" t="str">
        <f>"符谷丹"</f>
        <v>符谷丹</v>
      </c>
      <c r="E4523" s="4" t="str">
        <f>"女"</f>
        <v>女</v>
      </c>
    </row>
    <row r="4524" spans="1:5" ht="30" customHeight="1">
      <c r="A4524" s="4">
        <v>4522</v>
      </c>
      <c r="B4524" s="4" t="str">
        <f>"397120220607220708110091"</f>
        <v>397120220607220708110091</v>
      </c>
      <c r="C4524" s="4" t="s">
        <v>31</v>
      </c>
      <c r="D4524" s="4" t="str">
        <f>"付丽澍"</f>
        <v>付丽澍</v>
      </c>
      <c r="E4524" s="4" t="str">
        <f>"女"</f>
        <v>女</v>
      </c>
    </row>
    <row r="4525" spans="1:5" ht="30" customHeight="1">
      <c r="A4525" s="4">
        <v>4523</v>
      </c>
      <c r="B4525" s="4" t="str">
        <f>"397120220607220919110113"</f>
        <v>397120220607220919110113</v>
      </c>
      <c r="C4525" s="4" t="s">
        <v>31</v>
      </c>
      <c r="D4525" s="4" t="str">
        <f>"高松"</f>
        <v>高松</v>
      </c>
      <c r="E4525" s="4" t="str">
        <f>"男"</f>
        <v>男</v>
      </c>
    </row>
    <row r="4526" spans="1:5" ht="30" customHeight="1">
      <c r="A4526" s="4">
        <v>4524</v>
      </c>
      <c r="B4526" s="4" t="str">
        <f>"397120220607221434110150"</f>
        <v>397120220607221434110150</v>
      </c>
      <c r="C4526" s="4" t="s">
        <v>31</v>
      </c>
      <c r="D4526" s="4" t="str">
        <f>"王蕾"</f>
        <v>王蕾</v>
      </c>
      <c r="E4526" s="4" t="str">
        <f aca="true" t="shared" si="177" ref="E4526:E4533">"女"</f>
        <v>女</v>
      </c>
    </row>
    <row r="4527" spans="1:5" ht="30" customHeight="1">
      <c r="A4527" s="4">
        <v>4525</v>
      </c>
      <c r="B4527" s="4" t="str">
        <f>"397120220607231047110468"</f>
        <v>397120220607231047110468</v>
      </c>
      <c r="C4527" s="4" t="s">
        <v>31</v>
      </c>
      <c r="D4527" s="4" t="str">
        <f>"陈元芳"</f>
        <v>陈元芳</v>
      </c>
      <c r="E4527" s="4" t="str">
        <f t="shared" si="177"/>
        <v>女</v>
      </c>
    </row>
    <row r="4528" spans="1:5" ht="30" customHeight="1">
      <c r="A4528" s="4">
        <v>4526</v>
      </c>
      <c r="B4528" s="4" t="str">
        <f>"397120220607234403110574"</f>
        <v>397120220607234403110574</v>
      </c>
      <c r="C4528" s="4" t="s">
        <v>31</v>
      </c>
      <c r="D4528" s="4" t="str">
        <f>"冯漫"</f>
        <v>冯漫</v>
      </c>
      <c r="E4528" s="4" t="str">
        <f t="shared" si="177"/>
        <v>女</v>
      </c>
    </row>
    <row r="4529" spans="1:5" ht="30" customHeight="1">
      <c r="A4529" s="4">
        <v>4527</v>
      </c>
      <c r="B4529" s="4" t="str">
        <f>"397120220608010226110707"</f>
        <v>397120220608010226110707</v>
      </c>
      <c r="C4529" s="4" t="s">
        <v>31</v>
      </c>
      <c r="D4529" s="4" t="str">
        <f>"苏文欣"</f>
        <v>苏文欣</v>
      </c>
      <c r="E4529" s="4" t="str">
        <f t="shared" si="177"/>
        <v>女</v>
      </c>
    </row>
    <row r="4530" spans="1:5" ht="30" customHeight="1">
      <c r="A4530" s="4">
        <v>4528</v>
      </c>
      <c r="B4530" s="4" t="str">
        <f>"397120220608084312111084"</f>
        <v>397120220608084312111084</v>
      </c>
      <c r="C4530" s="4" t="s">
        <v>31</v>
      </c>
      <c r="D4530" s="4" t="str">
        <f>"李雨芯"</f>
        <v>李雨芯</v>
      </c>
      <c r="E4530" s="4" t="str">
        <f t="shared" si="177"/>
        <v>女</v>
      </c>
    </row>
    <row r="4531" spans="1:5" ht="30" customHeight="1">
      <c r="A4531" s="4">
        <v>4529</v>
      </c>
      <c r="B4531" s="4" t="str">
        <f>"397120220608093749111505"</f>
        <v>397120220608093749111505</v>
      </c>
      <c r="C4531" s="4" t="s">
        <v>31</v>
      </c>
      <c r="D4531" s="4" t="str">
        <f>"关晶晶"</f>
        <v>关晶晶</v>
      </c>
      <c r="E4531" s="4" t="str">
        <f t="shared" si="177"/>
        <v>女</v>
      </c>
    </row>
    <row r="4532" spans="1:5" ht="30" customHeight="1">
      <c r="A4532" s="4">
        <v>4530</v>
      </c>
      <c r="B4532" s="4" t="str">
        <f>"397120220608111443112346"</f>
        <v>397120220608111443112346</v>
      </c>
      <c r="C4532" s="4" t="s">
        <v>31</v>
      </c>
      <c r="D4532" s="4" t="str">
        <f>"王丽君"</f>
        <v>王丽君</v>
      </c>
      <c r="E4532" s="4" t="str">
        <f t="shared" si="177"/>
        <v>女</v>
      </c>
    </row>
    <row r="4533" spans="1:5" ht="30" customHeight="1">
      <c r="A4533" s="4">
        <v>4531</v>
      </c>
      <c r="B4533" s="4" t="str">
        <f>"397120220608113031112462"</f>
        <v>397120220608113031112462</v>
      </c>
      <c r="C4533" s="4" t="s">
        <v>31</v>
      </c>
      <c r="D4533" s="4" t="str">
        <f>"符开秀"</f>
        <v>符开秀</v>
      </c>
      <c r="E4533" s="4" t="str">
        <f t="shared" si="177"/>
        <v>女</v>
      </c>
    </row>
    <row r="4534" spans="1:5" ht="30" customHeight="1">
      <c r="A4534" s="4">
        <v>4532</v>
      </c>
      <c r="B4534" s="4" t="str">
        <f>"39712022060110295378954"</f>
        <v>39712022060110295378954</v>
      </c>
      <c r="C4534" s="4" t="s">
        <v>32</v>
      </c>
      <c r="D4534" s="4" t="str">
        <f>"苏磊"</f>
        <v>苏磊</v>
      </c>
      <c r="E4534" s="4" t="str">
        <f aca="true" t="shared" si="178" ref="E4534:E4545">"男"</f>
        <v>男</v>
      </c>
    </row>
    <row r="4535" spans="1:5" ht="30" customHeight="1">
      <c r="A4535" s="4">
        <v>4533</v>
      </c>
      <c r="B4535" s="4" t="str">
        <f>"39712022060111465079531"</f>
        <v>39712022060111465079531</v>
      </c>
      <c r="C4535" s="4" t="s">
        <v>32</v>
      </c>
      <c r="D4535" s="4" t="str">
        <f>"陈真宝"</f>
        <v>陈真宝</v>
      </c>
      <c r="E4535" s="4" t="str">
        <f t="shared" si="178"/>
        <v>男</v>
      </c>
    </row>
    <row r="4536" spans="1:5" ht="30" customHeight="1">
      <c r="A4536" s="4">
        <v>4534</v>
      </c>
      <c r="B4536" s="4" t="str">
        <f>"39712022060121200482327"</f>
        <v>39712022060121200482327</v>
      </c>
      <c r="C4536" s="4" t="s">
        <v>32</v>
      </c>
      <c r="D4536" s="4" t="str">
        <f>"欧开轩"</f>
        <v>欧开轩</v>
      </c>
      <c r="E4536" s="4" t="str">
        <f t="shared" si="178"/>
        <v>男</v>
      </c>
    </row>
    <row r="4537" spans="1:5" ht="30" customHeight="1">
      <c r="A4537" s="4">
        <v>4535</v>
      </c>
      <c r="B4537" s="4" t="str">
        <f>"39712022060122311182724"</f>
        <v>39712022060122311182724</v>
      </c>
      <c r="C4537" s="4" t="s">
        <v>32</v>
      </c>
      <c r="D4537" s="4" t="str">
        <f>"黄泽翔"</f>
        <v>黄泽翔</v>
      </c>
      <c r="E4537" s="4" t="str">
        <f t="shared" si="178"/>
        <v>男</v>
      </c>
    </row>
    <row r="4538" spans="1:5" ht="30" customHeight="1">
      <c r="A4538" s="4">
        <v>4536</v>
      </c>
      <c r="B4538" s="4" t="str">
        <f>"39712022060208403483394"</f>
        <v>39712022060208403483394</v>
      </c>
      <c r="C4538" s="4" t="s">
        <v>32</v>
      </c>
      <c r="D4538" s="4" t="str">
        <f>"朱德浩"</f>
        <v>朱德浩</v>
      </c>
      <c r="E4538" s="4" t="str">
        <f t="shared" si="178"/>
        <v>男</v>
      </c>
    </row>
    <row r="4539" spans="1:5" ht="30" customHeight="1">
      <c r="A4539" s="4">
        <v>4537</v>
      </c>
      <c r="B4539" s="4" t="str">
        <f>"39712022060209344383759"</f>
        <v>39712022060209344383759</v>
      </c>
      <c r="C4539" s="4" t="s">
        <v>32</v>
      </c>
      <c r="D4539" s="4" t="str">
        <f>"王豪"</f>
        <v>王豪</v>
      </c>
      <c r="E4539" s="4" t="str">
        <f t="shared" si="178"/>
        <v>男</v>
      </c>
    </row>
    <row r="4540" spans="1:5" ht="30" customHeight="1">
      <c r="A4540" s="4">
        <v>4538</v>
      </c>
      <c r="B4540" s="4" t="str">
        <f>"39712022060213223185220"</f>
        <v>39712022060213223185220</v>
      </c>
      <c r="C4540" s="4" t="s">
        <v>32</v>
      </c>
      <c r="D4540" s="4" t="str">
        <f>"吴崇武"</f>
        <v>吴崇武</v>
      </c>
      <c r="E4540" s="4" t="str">
        <f t="shared" si="178"/>
        <v>男</v>
      </c>
    </row>
    <row r="4541" spans="1:5" ht="30" customHeight="1">
      <c r="A4541" s="4">
        <v>4539</v>
      </c>
      <c r="B4541" s="4" t="str">
        <f>"39712022060215140985736"</f>
        <v>39712022060215140985736</v>
      </c>
      <c r="C4541" s="4" t="s">
        <v>32</v>
      </c>
      <c r="D4541" s="4" t="str">
        <f>"孙于琅"</f>
        <v>孙于琅</v>
      </c>
      <c r="E4541" s="4" t="str">
        <f t="shared" si="178"/>
        <v>男</v>
      </c>
    </row>
    <row r="4542" spans="1:5" ht="30" customHeight="1">
      <c r="A4542" s="4">
        <v>4540</v>
      </c>
      <c r="B4542" s="4" t="str">
        <f>"39712022060219374186873"</f>
        <v>39712022060219374186873</v>
      </c>
      <c r="C4542" s="4" t="s">
        <v>32</v>
      </c>
      <c r="D4542" s="4" t="str">
        <f>"蔡冠生"</f>
        <v>蔡冠生</v>
      </c>
      <c r="E4542" s="4" t="str">
        <f t="shared" si="178"/>
        <v>男</v>
      </c>
    </row>
    <row r="4543" spans="1:5" ht="30" customHeight="1">
      <c r="A4543" s="4">
        <v>4541</v>
      </c>
      <c r="B4543" s="4" t="str">
        <f>"39712022060220372787027"</f>
        <v>39712022060220372787027</v>
      </c>
      <c r="C4543" s="4" t="s">
        <v>32</v>
      </c>
      <c r="D4543" s="4" t="str">
        <f>"严锋"</f>
        <v>严锋</v>
      </c>
      <c r="E4543" s="4" t="str">
        <f t="shared" si="178"/>
        <v>男</v>
      </c>
    </row>
    <row r="4544" spans="1:5" ht="30" customHeight="1">
      <c r="A4544" s="4">
        <v>4542</v>
      </c>
      <c r="B4544" s="4" t="str">
        <f>"39712022060311305187848"</f>
        <v>39712022060311305187848</v>
      </c>
      <c r="C4544" s="4" t="s">
        <v>32</v>
      </c>
      <c r="D4544" s="4" t="str">
        <f>"王国培"</f>
        <v>王国培</v>
      </c>
      <c r="E4544" s="4" t="str">
        <f t="shared" si="178"/>
        <v>男</v>
      </c>
    </row>
    <row r="4545" spans="1:5" ht="30" customHeight="1">
      <c r="A4545" s="4">
        <v>4543</v>
      </c>
      <c r="B4545" s="4" t="str">
        <f>"39712022060314522988036"</f>
        <v>39712022060314522988036</v>
      </c>
      <c r="C4545" s="4" t="s">
        <v>32</v>
      </c>
      <c r="D4545" s="4" t="str">
        <f>"黄大俊"</f>
        <v>黄大俊</v>
      </c>
      <c r="E4545" s="4" t="str">
        <f t="shared" si="178"/>
        <v>男</v>
      </c>
    </row>
    <row r="4546" spans="1:5" ht="30" customHeight="1">
      <c r="A4546" s="4">
        <v>4544</v>
      </c>
      <c r="B4546" s="4" t="str">
        <f>"39712022060415441889039"</f>
        <v>39712022060415441889039</v>
      </c>
      <c r="C4546" s="4" t="s">
        <v>32</v>
      </c>
      <c r="D4546" s="4" t="str">
        <f>"冯学畅"</f>
        <v>冯学畅</v>
      </c>
      <c r="E4546" s="4" t="str">
        <f>"女"</f>
        <v>女</v>
      </c>
    </row>
    <row r="4547" spans="1:5" ht="30" customHeight="1">
      <c r="A4547" s="4">
        <v>4545</v>
      </c>
      <c r="B4547" s="4" t="str">
        <f>"39712022060422314289460"</f>
        <v>39712022060422314289460</v>
      </c>
      <c r="C4547" s="4" t="s">
        <v>32</v>
      </c>
      <c r="D4547" s="4" t="str">
        <f>"林志明"</f>
        <v>林志明</v>
      </c>
      <c r="E4547" s="4" t="str">
        <f aca="true" t="shared" si="179" ref="E4547:E4552">"男"</f>
        <v>男</v>
      </c>
    </row>
    <row r="4548" spans="1:5" ht="30" customHeight="1">
      <c r="A4548" s="4">
        <v>4546</v>
      </c>
      <c r="B4548" s="4" t="str">
        <f>"39712022060514185890111"</f>
        <v>39712022060514185890111</v>
      </c>
      <c r="C4548" s="4" t="s">
        <v>32</v>
      </c>
      <c r="D4548" s="4" t="str">
        <f>"陈冬季"</f>
        <v>陈冬季</v>
      </c>
      <c r="E4548" s="4" t="str">
        <f t="shared" si="179"/>
        <v>男</v>
      </c>
    </row>
    <row r="4549" spans="1:5" ht="30" customHeight="1">
      <c r="A4549" s="4">
        <v>4547</v>
      </c>
      <c r="B4549" s="4" t="str">
        <f>"39712022060522355290877"</f>
        <v>39712022060522355290877</v>
      </c>
      <c r="C4549" s="4" t="s">
        <v>32</v>
      </c>
      <c r="D4549" s="4" t="str">
        <f>"彭崇浩"</f>
        <v>彭崇浩</v>
      </c>
      <c r="E4549" s="4" t="str">
        <f t="shared" si="179"/>
        <v>男</v>
      </c>
    </row>
    <row r="4550" spans="1:5" ht="30" customHeight="1">
      <c r="A4550" s="4">
        <v>4548</v>
      </c>
      <c r="B4550" s="4" t="str">
        <f>"397120220606213647101399"</f>
        <v>397120220606213647101399</v>
      </c>
      <c r="C4550" s="4" t="s">
        <v>32</v>
      </c>
      <c r="D4550" s="4" t="str">
        <f>"曾祖华"</f>
        <v>曾祖华</v>
      </c>
      <c r="E4550" s="4" t="str">
        <f t="shared" si="179"/>
        <v>男</v>
      </c>
    </row>
    <row r="4551" spans="1:5" ht="30" customHeight="1">
      <c r="A4551" s="4">
        <v>4549</v>
      </c>
      <c r="B4551" s="4" t="str">
        <f>"397120220606214644101534"</f>
        <v>397120220606214644101534</v>
      </c>
      <c r="C4551" s="4" t="s">
        <v>32</v>
      </c>
      <c r="D4551" s="4" t="str">
        <f>"邱立强"</f>
        <v>邱立强</v>
      </c>
      <c r="E4551" s="4" t="str">
        <f t="shared" si="179"/>
        <v>男</v>
      </c>
    </row>
    <row r="4552" spans="1:5" ht="30" customHeight="1">
      <c r="A4552" s="4">
        <v>4550</v>
      </c>
      <c r="B4552" s="4" t="str">
        <f>"397120220607091657103387"</f>
        <v>397120220607091657103387</v>
      </c>
      <c r="C4552" s="4" t="s">
        <v>32</v>
      </c>
      <c r="D4552" s="4" t="str">
        <f>"陈建波"</f>
        <v>陈建波</v>
      </c>
      <c r="E4552" s="4" t="str">
        <f t="shared" si="179"/>
        <v>男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2022-06-13T07:05:24Z</dcterms:created>
  <dcterms:modified xsi:type="dcterms:W3CDTF">2022-06-16T10:52:54Z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804BC0D710FC4BB2875DF3BDC79DA8F0</vt:lpwstr>
  </property>
  <property fmtid="{D5CDD505-2E9C-101B-9397-08002B2CF9AE}" pid="3" name="KSOProductBuildVer">
    <vt:lpwstr>2052-11.1.0.11805</vt:lpwstr>
  </property>
</Properties>
</file>